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er\Desktop\Кинопарк\!!!!!!!ЭКСПЛУАТАЦИЯ 2026\уборка территории\"/>
    </mc:Choice>
  </mc:AlternateContent>
  <xr:revisionPtr revIDLastSave="0" documentId="13_ncr:1_{B6502C2D-FD0C-49AB-B075-4E52163019A2}" xr6:coauthVersionLast="47" xr6:coauthVersionMax="47" xr10:uidLastSave="{00000000-0000-0000-0000-000000000000}"/>
  <bookViews>
    <workbookView xWindow="-38520" yWindow="-120" windowWidth="38640" windowHeight="21120" xr2:uid="{9652E1D5-5FD8-4DBA-905D-E833160B35F0}"/>
  </bookViews>
  <sheets>
    <sheet name="Смета СН-2012 по гл. 1-5,7" sheetId="7" r:id="rId1"/>
    <sheet name="Ведомость объемов работ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'Ведомость объемов работ'!$17:$17</definedName>
    <definedName name="_xlnm.Print_Titles" localSheetId="0">'Смета СН-2012 по гл. 1-5,7'!$31:$31</definedName>
    <definedName name="_xlnm.Print_Area" localSheetId="1">'Ведомость объемов работ'!$A$1:$F$75</definedName>
    <definedName name="_xlnm.Print_Area" localSheetId="0">'Смета СН-2012 по гл. 1-5,7'!$A$1:$K$357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76" i="1" l="1"/>
  <c r="F243" i="1"/>
  <c r="A37" i="7"/>
  <c r="D73" i="8" l="1"/>
  <c r="D71" i="8"/>
  <c r="E68" i="8"/>
  <c r="C68" i="8"/>
  <c r="B68" i="8"/>
  <c r="E67" i="8"/>
  <c r="C67" i="8"/>
  <c r="B67" i="8"/>
  <c r="E66" i="8"/>
  <c r="C66" i="8"/>
  <c r="B66" i="8"/>
  <c r="E65" i="8"/>
  <c r="C65" i="8"/>
  <c r="B65" i="8"/>
  <c r="E64" i="8"/>
  <c r="C64" i="8"/>
  <c r="B64" i="8"/>
  <c r="E63" i="8"/>
  <c r="C63" i="8"/>
  <c r="B63" i="8"/>
  <c r="E62" i="8"/>
  <c r="C62" i="8"/>
  <c r="B62" i="8"/>
  <c r="E61" i="8"/>
  <c r="C61" i="8"/>
  <c r="B61" i="8"/>
  <c r="E60" i="8"/>
  <c r="C60" i="8"/>
  <c r="B60" i="8"/>
  <c r="E59" i="8"/>
  <c r="C59" i="8"/>
  <c r="B59" i="8"/>
  <c r="E58" i="8"/>
  <c r="C58" i="8"/>
  <c r="B58" i="8"/>
  <c r="E57" i="8"/>
  <c r="C57" i="8"/>
  <c r="B57" i="8"/>
  <c r="E56" i="8"/>
  <c r="C56" i="8"/>
  <c r="B56" i="8"/>
  <c r="E55" i="8"/>
  <c r="C55" i="8"/>
  <c r="B55" i="8"/>
  <c r="E54" i="8"/>
  <c r="C54" i="8"/>
  <c r="B54" i="8"/>
  <c r="E53" i="8"/>
  <c r="C53" i="8"/>
  <c r="B53" i="8"/>
  <c r="E52" i="8"/>
  <c r="C52" i="8"/>
  <c r="B52" i="8"/>
  <c r="E51" i="8"/>
  <c r="C51" i="8"/>
  <c r="B51" i="8"/>
  <c r="A50" i="8"/>
  <c r="E49" i="8"/>
  <c r="C49" i="8"/>
  <c r="B49" i="8"/>
  <c r="E48" i="8"/>
  <c r="C48" i="8"/>
  <c r="B48" i="8"/>
  <c r="E47" i="8"/>
  <c r="C47" i="8"/>
  <c r="B47" i="8"/>
  <c r="E46" i="8"/>
  <c r="C46" i="8"/>
  <c r="B46" i="8"/>
  <c r="E45" i="8"/>
  <c r="C45" i="8"/>
  <c r="B45" i="8"/>
  <c r="E44" i="8"/>
  <c r="C44" i="8"/>
  <c r="B44" i="8"/>
  <c r="E43" i="8"/>
  <c r="C43" i="8"/>
  <c r="B43" i="8"/>
  <c r="E42" i="8"/>
  <c r="C42" i="8"/>
  <c r="B42" i="8"/>
  <c r="E41" i="8"/>
  <c r="C41" i="8"/>
  <c r="B41" i="8"/>
  <c r="E40" i="8"/>
  <c r="C40" i="8"/>
  <c r="B40" i="8"/>
  <c r="E39" i="8"/>
  <c r="C39" i="8"/>
  <c r="B39" i="8"/>
  <c r="E38" i="8"/>
  <c r="C38" i="8"/>
  <c r="B38" i="8"/>
  <c r="E37" i="8"/>
  <c r="C37" i="8"/>
  <c r="B37" i="8"/>
  <c r="A36" i="8"/>
  <c r="E35" i="8"/>
  <c r="C35" i="8"/>
  <c r="B35" i="8"/>
  <c r="E34" i="8"/>
  <c r="C34" i="8"/>
  <c r="B34" i="8"/>
  <c r="E33" i="8"/>
  <c r="C33" i="8"/>
  <c r="B33" i="8"/>
  <c r="E32" i="8"/>
  <c r="C32" i="8"/>
  <c r="B32" i="8"/>
  <c r="E31" i="8"/>
  <c r="C31" i="8"/>
  <c r="B31" i="8"/>
  <c r="E30" i="8"/>
  <c r="C30" i="8"/>
  <c r="B30" i="8"/>
  <c r="E29" i="8"/>
  <c r="C29" i="8"/>
  <c r="B29" i="8"/>
  <c r="E28" i="8"/>
  <c r="C28" i="8"/>
  <c r="B28" i="8"/>
  <c r="E27" i="8"/>
  <c r="C27" i="8"/>
  <c r="B27" i="8"/>
  <c r="E26" i="8"/>
  <c r="C26" i="8"/>
  <c r="B26" i="8"/>
  <c r="E25" i="8"/>
  <c r="C25" i="8"/>
  <c r="B25" i="8"/>
  <c r="E24" i="8"/>
  <c r="C24" i="8"/>
  <c r="B24" i="8"/>
  <c r="E23" i="8"/>
  <c r="C23" i="8"/>
  <c r="B23" i="8"/>
  <c r="E22" i="8"/>
  <c r="C22" i="8"/>
  <c r="B22" i="8"/>
  <c r="E21" i="8"/>
  <c r="C21" i="8"/>
  <c r="B21" i="8"/>
  <c r="E20" i="8"/>
  <c r="C20" i="8"/>
  <c r="B20" i="8"/>
  <c r="A19" i="8"/>
  <c r="A18" i="8"/>
  <c r="B14" i="8"/>
  <c r="B13" i="8"/>
  <c r="B12" i="8"/>
  <c r="A1" i="8"/>
  <c r="H355" i="7"/>
  <c r="H352" i="7"/>
  <c r="C355" i="7"/>
  <c r="C352" i="7"/>
  <c r="C349" i="7"/>
  <c r="I348" i="7"/>
  <c r="C348" i="7"/>
  <c r="I347" i="7"/>
  <c r="C347" i="7"/>
  <c r="I26" i="7"/>
  <c r="I25" i="7"/>
  <c r="I24" i="7"/>
  <c r="I23" i="7"/>
  <c r="I22" i="7"/>
  <c r="I21" i="7" s="1"/>
  <c r="A346" i="7"/>
  <c r="I344" i="7"/>
  <c r="C344" i="7"/>
  <c r="I343" i="7"/>
  <c r="C343" i="7"/>
  <c r="A341" i="7"/>
  <c r="A338" i="7"/>
  <c r="A335" i="7"/>
  <c r="K332" i="7"/>
  <c r="H332" i="7"/>
  <c r="G332" i="7"/>
  <c r="E332" i="7"/>
  <c r="J331" i="7"/>
  <c r="E331" i="7"/>
  <c r="J330" i="7"/>
  <c r="E330" i="7"/>
  <c r="J329" i="7"/>
  <c r="E329" i="7"/>
  <c r="J328" i="7"/>
  <c r="I328" i="7"/>
  <c r="H328" i="7"/>
  <c r="F328" i="7"/>
  <c r="V328" i="7"/>
  <c r="T328" i="7"/>
  <c r="R328" i="7"/>
  <c r="U328" i="7"/>
  <c r="S328" i="7"/>
  <c r="Q328" i="7"/>
  <c r="E328" i="7"/>
  <c r="D328" i="7"/>
  <c r="C328" i="7"/>
  <c r="B328" i="7"/>
  <c r="J327" i="7"/>
  <c r="I327" i="7"/>
  <c r="H327" i="7"/>
  <c r="G327" i="7"/>
  <c r="F327" i="7"/>
  <c r="J326" i="7"/>
  <c r="I326" i="7"/>
  <c r="H326" i="7"/>
  <c r="G326" i="7"/>
  <c r="F326" i="7"/>
  <c r="J325" i="7"/>
  <c r="I333" i="7" s="1"/>
  <c r="I325" i="7"/>
  <c r="H325" i="7"/>
  <c r="G325" i="7"/>
  <c r="F325" i="7"/>
  <c r="J324" i="7"/>
  <c r="I324" i="7"/>
  <c r="H324" i="7"/>
  <c r="G324" i="7"/>
  <c r="F324" i="7"/>
  <c r="V323" i="7"/>
  <c r="T323" i="7"/>
  <c r="R323" i="7"/>
  <c r="U323" i="7"/>
  <c r="S323" i="7"/>
  <c r="Q323" i="7"/>
  <c r="E323" i="7"/>
  <c r="D323" i="7"/>
  <c r="C323" i="7"/>
  <c r="B323" i="7"/>
  <c r="K321" i="7"/>
  <c r="H321" i="7"/>
  <c r="G321" i="7"/>
  <c r="E321" i="7"/>
  <c r="E320" i="7"/>
  <c r="E319" i="7"/>
  <c r="E318" i="7"/>
  <c r="J317" i="7"/>
  <c r="I317" i="7"/>
  <c r="H317" i="7"/>
  <c r="F317" i="7"/>
  <c r="V317" i="7"/>
  <c r="J320" i="7" s="1"/>
  <c r="T317" i="7"/>
  <c r="J319" i="7" s="1"/>
  <c r="R317" i="7"/>
  <c r="J318" i="7" s="1"/>
  <c r="U317" i="7"/>
  <c r="S317" i="7"/>
  <c r="Q317" i="7"/>
  <c r="E317" i="7"/>
  <c r="D317" i="7"/>
  <c r="C317" i="7"/>
  <c r="B317" i="7"/>
  <c r="J316" i="7"/>
  <c r="I316" i="7"/>
  <c r="H316" i="7"/>
  <c r="G316" i="7"/>
  <c r="F316" i="7"/>
  <c r="J315" i="7"/>
  <c r="I315" i="7"/>
  <c r="H315" i="7"/>
  <c r="G315" i="7"/>
  <c r="F315" i="7"/>
  <c r="J314" i="7"/>
  <c r="I314" i="7"/>
  <c r="H314" i="7"/>
  <c r="G314" i="7"/>
  <c r="F314" i="7"/>
  <c r="J313" i="7"/>
  <c r="I313" i="7"/>
  <c r="H313" i="7"/>
  <c r="G313" i="7"/>
  <c r="F313" i="7"/>
  <c r="C312" i="7"/>
  <c r="V311" i="7"/>
  <c r="T311" i="7"/>
  <c r="R311" i="7"/>
  <c r="U311" i="7"/>
  <c r="S311" i="7"/>
  <c r="Q311" i="7"/>
  <c r="E311" i="7"/>
  <c r="D311" i="7"/>
  <c r="C311" i="7"/>
  <c r="B311" i="7"/>
  <c r="K309" i="7"/>
  <c r="H309" i="7"/>
  <c r="G309" i="7"/>
  <c r="E309" i="7"/>
  <c r="J308" i="7"/>
  <c r="E308" i="7"/>
  <c r="J307" i="7"/>
  <c r="I310" i="7" s="1"/>
  <c r="E307" i="7"/>
  <c r="J306" i="7"/>
  <c r="I306" i="7"/>
  <c r="H306" i="7"/>
  <c r="G306" i="7"/>
  <c r="F306" i="7"/>
  <c r="C305" i="7"/>
  <c r="V304" i="7"/>
  <c r="T304" i="7"/>
  <c r="R304" i="7"/>
  <c r="U304" i="7"/>
  <c r="S304" i="7"/>
  <c r="Q304" i="7"/>
  <c r="E304" i="7"/>
  <c r="D304" i="7"/>
  <c r="C304" i="7"/>
  <c r="B304" i="7"/>
  <c r="K302" i="7"/>
  <c r="H302" i="7"/>
  <c r="G302" i="7"/>
  <c r="E302" i="7"/>
  <c r="E301" i="7"/>
  <c r="E300" i="7"/>
  <c r="J299" i="7"/>
  <c r="I299" i="7"/>
  <c r="H299" i="7"/>
  <c r="G299" i="7"/>
  <c r="F299" i="7"/>
  <c r="V298" i="7"/>
  <c r="T298" i="7"/>
  <c r="J301" i="7" s="1"/>
  <c r="R298" i="7"/>
  <c r="J300" i="7" s="1"/>
  <c r="I303" i="7" s="1"/>
  <c r="U298" i="7"/>
  <c r="S298" i="7"/>
  <c r="Q298" i="7"/>
  <c r="E298" i="7"/>
  <c r="D298" i="7"/>
  <c r="C298" i="7"/>
  <c r="B298" i="7"/>
  <c r="K296" i="7"/>
  <c r="H296" i="7"/>
  <c r="G296" i="7"/>
  <c r="E296" i="7"/>
  <c r="E295" i="7"/>
  <c r="E294" i="7"/>
  <c r="E293" i="7"/>
  <c r="J292" i="7"/>
  <c r="I292" i="7"/>
  <c r="H292" i="7"/>
  <c r="F292" i="7"/>
  <c r="V292" i="7"/>
  <c r="J295" i="7" s="1"/>
  <c r="T292" i="7"/>
  <c r="J294" i="7" s="1"/>
  <c r="R292" i="7"/>
  <c r="J293" i="7" s="1"/>
  <c r="U292" i="7"/>
  <c r="S292" i="7"/>
  <c r="Q292" i="7"/>
  <c r="E292" i="7"/>
  <c r="D292" i="7"/>
  <c r="C292" i="7"/>
  <c r="B292" i="7"/>
  <c r="J291" i="7"/>
  <c r="I291" i="7"/>
  <c r="H291" i="7"/>
  <c r="G291" i="7"/>
  <c r="F291" i="7"/>
  <c r="J290" i="7"/>
  <c r="I290" i="7"/>
  <c r="H290" i="7"/>
  <c r="G290" i="7"/>
  <c r="F290" i="7"/>
  <c r="J289" i="7"/>
  <c r="I289" i="7"/>
  <c r="H289" i="7"/>
  <c r="G289" i="7"/>
  <c r="F289" i="7"/>
  <c r="J288" i="7"/>
  <c r="I297" i="7" s="1"/>
  <c r="I288" i="7"/>
  <c r="H288" i="7"/>
  <c r="G288" i="7"/>
  <c r="F288" i="7"/>
  <c r="V287" i="7"/>
  <c r="T287" i="7"/>
  <c r="R287" i="7"/>
  <c r="U287" i="7"/>
  <c r="S287" i="7"/>
  <c r="Q287" i="7"/>
  <c r="E287" i="7"/>
  <c r="D287" i="7"/>
  <c r="C287" i="7"/>
  <c r="B287" i="7"/>
  <c r="K285" i="7"/>
  <c r="H285" i="7"/>
  <c r="G285" i="7"/>
  <c r="E285" i="7"/>
  <c r="J284" i="7"/>
  <c r="E284" i="7"/>
  <c r="J283" i="7"/>
  <c r="E283" i="7"/>
  <c r="E282" i="7"/>
  <c r="J281" i="7"/>
  <c r="I281" i="7"/>
  <c r="H281" i="7"/>
  <c r="F281" i="7"/>
  <c r="V281" i="7"/>
  <c r="T281" i="7"/>
  <c r="R281" i="7"/>
  <c r="U281" i="7"/>
  <c r="S281" i="7"/>
  <c r="Q281" i="7"/>
  <c r="E281" i="7"/>
  <c r="D281" i="7"/>
  <c r="C281" i="7"/>
  <c r="B281" i="7"/>
  <c r="J280" i="7"/>
  <c r="I280" i="7"/>
  <c r="H280" i="7"/>
  <c r="G280" i="7"/>
  <c r="F280" i="7"/>
  <c r="J279" i="7"/>
  <c r="I279" i="7"/>
  <c r="H279" i="7"/>
  <c r="G279" i="7"/>
  <c r="F279" i="7"/>
  <c r="J278" i="7"/>
  <c r="I278" i="7"/>
  <c r="H278" i="7"/>
  <c r="G278" i="7"/>
  <c r="F278" i="7"/>
  <c r="J277" i="7"/>
  <c r="I277" i="7"/>
  <c r="H277" i="7"/>
  <c r="G277" i="7"/>
  <c r="F277" i="7"/>
  <c r="V276" i="7"/>
  <c r="T276" i="7"/>
  <c r="R276" i="7"/>
  <c r="J282" i="7" s="1"/>
  <c r="U276" i="7"/>
  <c r="S276" i="7"/>
  <c r="Q276" i="7"/>
  <c r="E276" i="7"/>
  <c r="D276" i="7"/>
  <c r="C276" i="7"/>
  <c r="B276" i="7"/>
  <c r="K274" i="7"/>
  <c r="H274" i="7"/>
  <c r="G274" i="7"/>
  <c r="E274" i="7"/>
  <c r="E273" i="7"/>
  <c r="E272" i="7"/>
  <c r="J271" i="7"/>
  <c r="I275" i="7" s="1"/>
  <c r="I271" i="7"/>
  <c r="H271" i="7"/>
  <c r="G271" i="7"/>
  <c r="F271" i="7"/>
  <c r="V270" i="7"/>
  <c r="T270" i="7"/>
  <c r="J273" i="7" s="1"/>
  <c r="R270" i="7"/>
  <c r="J272" i="7" s="1"/>
  <c r="U270" i="7"/>
  <c r="S270" i="7"/>
  <c r="Q270" i="7"/>
  <c r="E270" i="7"/>
  <c r="D270" i="7"/>
  <c r="C270" i="7"/>
  <c r="B270" i="7"/>
  <c r="K268" i="7"/>
  <c r="H268" i="7"/>
  <c r="G268" i="7"/>
  <c r="E268" i="7"/>
  <c r="E267" i="7"/>
  <c r="E266" i="7"/>
  <c r="J265" i="7"/>
  <c r="I265" i="7"/>
  <c r="H265" i="7"/>
  <c r="F265" i="7"/>
  <c r="V265" i="7"/>
  <c r="T265" i="7"/>
  <c r="R265" i="7"/>
  <c r="U265" i="7"/>
  <c r="S265" i="7"/>
  <c r="Q265" i="7"/>
  <c r="E265" i="7"/>
  <c r="D265" i="7"/>
  <c r="C265" i="7"/>
  <c r="B265" i="7"/>
  <c r="J264" i="7"/>
  <c r="I264" i="7"/>
  <c r="H264" i="7"/>
  <c r="G264" i="7"/>
  <c r="F264" i="7"/>
  <c r="C263" i="7"/>
  <c r="V262" i="7"/>
  <c r="T262" i="7"/>
  <c r="J267" i="7" s="1"/>
  <c r="R262" i="7"/>
  <c r="J266" i="7" s="1"/>
  <c r="U262" i="7"/>
  <c r="S262" i="7"/>
  <c r="Q262" i="7"/>
  <c r="E262" i="7"/>
  <c r="D262" i="7"/>
  <c r="C262" i="7"/>
  <c r="B262" i="7"/>
  <c r="K260" i="7"/>
  <c r="H260" i="7"/>
  <c r="G260" i="7"/>
  <c r="E260" i="7"/>
  <c r="J259" i="7"/>
  <c r="E259" i="7"/>
  <c r="J258" i="7"/>
  <c r="E258" i="7"/>
  <c r="J257" i="7"/>
  <c r="E257" i="7"/>
  <c r="J256" i="7"/>
  <c r="I256" i="7"/>
  <c r="H256" i="7"/>
  <c r="G256" i="7"/>
  <c r="F256" i="7"/>
  <c r="J255" i="7"/>
  <c r="I261" i="7" s="1"/>
  <c r="I255" i="7"/>
  <c r="H255" i="7"/>
  <c r="G255" i="7"/>
  <c r="F255" i="7"/>
  <c r="J254" i="7"/>
  <c r="I254" i="7"/>
  <c r="H254" i="7"/>
  <c r="G254" i="7"/>
  <c r="F254" i="7"/>
  <c r="V253" i="7"/>
  <c r="T253" i="7"/>
  <c r="R253" i="7"/>
  <c r="U253" i="7"/>
  <c r="S253" i="7"/>
  <c r="Q253" i="7"/>
  <c r="E253" i="7"/>
  <c r="D253" i="7"/>
  <c r="C253" i="7"/>
  <c r="B253" i="7"/>
  <c r="K251" i="7"/>
  <c r="H251" i="7"/>
  <c r="G251" i="7"/>
  <c r="E251" i="7"/>
  <c r="E250" i="7"/>
  <c r="E249" i="7"/>
  <c r="J248" i="7"/>
  <c r="I248" i="7"/>
  <c r="H248" i="7"/>
  <c r="G248" i="7"/>
  <c r="F248" i="7"/>
  <c r="J247" i="7"/>
  <c r="I247" i="7"/>
  <c r="H247" i="7"/>
  <c r="G247" i="7"/>
  <c r="F247" i="7"/>
  <c r="V246" i="7"/>
  <c r="T246" i="7"/>
  <c r="J250" i="7" s="1"/>
  <c r="R246" i="7"/>
  <c r="J249" i="7" s="1"/>
  <c r="I252" i="7" s="1"/>
  <c r="U246" i="7"/>
  <c r="S246" i="7"/>
  <c r="Q246" i="7"/>
  <c r="E246" i="7"/>
  <c r="D246" i="7"/>
  <c r="C246" i="7"/>
  <c r="B246" i="7"/>
  <c r="K244" i="7"/>
  <c r="H244" i="7"/>
  <c r="G244" i="7"/>
  <c r="E244" i="7"/>
  <c r="E243" i="7"/>
  <c r="E242" i="7"/>
  <c r="E241" i="7"/>
  <c r="J240" i="7"/>
  <c r="I240" i="7"/>
  <c r="H240" i="7"/>
  <c r="G240" i="7"/>
  <c r="F240" i="7"/>
  <c r="J239" i="7"/>
  <c r="I239" i="7"/>
  <c r="H239" i="7"/>
  <c r="G239" i="7"/>
  <c r="F239" i="7"/>
  <c r="J238" i="7"/>
  <c r="I238" i="7"/>
  <c r="H238" i="7"/>
  <c r="G238" i="7"/>
  <c r="F238" i="7"/>
  <c r="J237" i="7"/>
  <c r="I237" i="7"/>
  <c r="H237" i="7"/>
  <c r="G237" i="7"/>
  <c r="F237" i="7"/>
  <c r="V236" i="7"/>
  <c r="J243" i="7" s="1"/>
  <c r="T236" i="7"/>
  <c r="J242" i="7" s="1"/>
  <c r="R236" i="7"/>
  <c r="J241" i="7" s="1"/>
  <c r="U236" i="7"/>
  <c r="S236" i="7"/>
  <c r="Q236" i="7"/>
  <c r="E236" i="7"/>
  <c r="D236" i="7"/>
  <c r="C236" i="7"/>
  <c r="B236" i="7"/>
  <c r="K234" i="7"/>
  <c r="H234" i="7"/>
  <c r="G234" i="7"/>
  <c r="E234" i="7"/>
  <c r="J233" i="7"/>
  <c r="E233" i="7"/>
  <c r="J232" i="7"/>
  <c r="E232" i="7"/>
  <c r="J231" i="7"/>
  <c r="I235" i="7" s="1"/>
  <c r="I231" i="7"/>
  <c r="H231" i="7"/>
  <c r="G231" i="7"/>
  <c r="F231" i="7"/>
  <c r="C230" i="7"/>
  <c r="V229" i="7"/>
  <c r="T229" i="7"/>
  <c r="R229" i="7"/>
  <c r="U229" i="7"/>
  <c r="S229" i="7"/>
  <c r="Q229" i="7"/>
  <c r="E229" i="7"/>
  <c r="D229" i="7"/>
  <c r="C229" i="7"/>
  <c r="B229" i="7"/>
  <c r="K227" i="7"/>
  <c r="H227" i="7"/>
  <c r="G227" i="7"/>
  <c r="E227" i="7"/>
  <c r="E226" i="7"/>
  <c r="J225" i="7"/>
  <c r="E225" i="7"/>
  <c r="J224" i="7"/>
  <c r="E224" i="7"/>
  <c r="J223" i="7"/>
  <c r="I223" i="7"/>
  <c r="H223" i="7"/>
  <c r="G223" i="7"/>
  <c r="F223" i="7"/>
  <c r="J222" i="7"/>
  <c r="I222" i="7"/>
  <c r="H222" i="7"/>
  <c r="G222" i="7"/>
  <c r="F222" i="7"/>
  <c r="J221" i="7"/>
  <c r="I221" i="7"/>
  <c r="H221" i="7"/>
  <c r="G221" i="7"/>
  <c r="F221" i="7"/>
  <c r="C220" i="7"/>
  <c r="V219" i="7"/>
  <c r="J226" i="7" s="1"/>
  <c r="T219" i="7"/>
  <c r="R219" i="7"/>
  <c r="U219" i="7"/>
  <c r="S219" i="7"/>
  <c r="Q219" i="7"/>
  <c r="E219" i="7"/>
  <c r="D219" i="7"/>
  <c r="C219" i="7"/>
  <c r="B219" i="7"/>
  <c r="A218" i="7"/>
  <c r="K212" i="7"/>
  <c r="H212" i="7"/>
  <c r="G212" i="7"/>
  <c r="E212" i="7"/>
  <c r="J211" i="7"/>
  <c r="E211" i="7"/>
  <c r="J210" i="7"/>
  <c r="E210" i="7"/>
  <c r="J209" i="7"/>
  <c r="E209" i="7"/>
  <c r="J208" i="7"/>
  <c r="I208" i="7"/>
  <c r="H208" i="7"/>
  <c r="F208" i="7"/>
  <c r="V208" i="7"/>
  <c r="T208" i="7"/>
  <c r="R208" i="7"/>
  <c r="U208" i="7"/>
  <c r="S208" i="7"/>
  <c r="Q208" i="7"/>
  <c r="E208" i="7"/>
  <c r="D208" i="7"/>
  <c r="C208" i="7"/>
  <c r="B208" i="7"/>
  <c r="J207" i="7"/>
  <c r="I213" i="7" s="1"/>
  <c r="I207" i="7"/>
  <c r="H207" i="7"/>
  <c r="G207" i="7"/>
  <c r="F207" i="7"/>
  <c r="J206" i="7"/>
  <c r="I206" i="7"/>
  <c r="H206" i="7"/>
  <c r="G206" i="7"/>
  <c r="F206" i="7"/>
  <c r="J205" i="7"/>
  <c r="I205" i="7"/>
  <c r="H205" i="7"/>
  <c r="G205" i="7"/>
  <c r="F205" i="7"/>
  <c r="J204" i="7"/>
  <c r="I204" i="7"/>
  <c r="H204" i="7"/>
  <c r="G204" i="7"/>
  <c r="F204" i="7"/>
  <c r="V203" i="7"/>
  <c r="T203" i="7"/>
  <c r="R203" i="7"/>
  <c r="U203" i="7"/>
  <c r="S203" i="7"/>
  <c r="Q203" i="7"/>
  <c r="E203" i="7"/>
  <c r="D203" i="7"/>
  <c r="C203" i="7"/>
  <c r="B203" i="7"/>
  <c r="K201" i="7"/>
  <c r="H201" i="7"/>
  <c r="G201" i="7"/>
  <c r="E201" i="7"/>
  <c r="E200" i="7"/>
  <c r="E199" i="7"/>
  <c r="J198" i="7"/>
  <c r="I198" i="7"/>
  <c r="H198" i="7"/>
  <c r="G198" i="7"/>
  <c r="F198" i="7"/>
  <c r="V197" i="7"/>
  <c r="T197" i="7"/>
  <c r="J200" i="7" s="1"/>
  <c r="R197" i="7"/>
  <c r="J199" i="7" s="1"/>
  <c r="U197" i="7"/>
  <c r="S197" i="7"/>
  <c r="Q197" i="7"/>
  <c r="E197" i="7"/>
  <c r="D197" i="7"/>
  <c r="C197" i="7"/>
  <c r="B197" i="7"/>
  <c r="K195" i="7"/>
  <c r="H195" i="7"/>
  <c r="G195" i="7"/>
  <c r="E195" i="7"/>
  <c r="J194" i="7"/>
  <c r="E194" i="7"/>
  <c r="J193" i="7"/>
  <c r="E193" i="7"/>
  <c r="J192" i="7"/>
  <c r="I192" i="7"/>
  <c r="H192" i="7"/>
  <c r="G192" i="7"/>
  <c r="F192" i="7"/>
  <c r="J191" i="7"/>
  <c r="I196" i="7" s="1"/>
  <c r="I191" i="7"/>
  <c r="H191" i="7"/>
  <c r="G191" i="7"/>
  <c r="F191" i="7"/>
  <c r="V190" i="7"/>
  <c r="T190" i="7"/>
  <c r="R190" i="7"/>
  <c r="U190" i="7"/>
  <c r="S190" i="7"/>
  <c r="Q190" i="7"/>
  <c r="E190" i="7"/>
  <c r="D190" i="7"/>
  <c r="C190" i="7"/>
  <c r="B190" i="7"/>
  <c r="K188" i="7"/>
  <c r="H188" i="7"/>
  <c r="G188" i="7"/>
  <c r="E188" i="7"/>
  <c r="J187" i="7"/>
  <c r="E187" i="7"/>
  <c r="J186" i="7"/>
  <c r="I189" i="7" s="1"/>
  <c r="E186" i="7"/>
  <c r="J185" i="7"/>
  <c r="I185" i="7"/>
  <c r="H185" i="7"/>
  <c r="G185" i="7"/>
  <c r="F185" i="7"/>
  <c r="J184" i="7"/>
  <c r="I184" i="7"/>
  <c r="H184" i="7"/>
  <c r="G184" i="7"/>
  <c r="F184" i="7"/>
  <c r="V183" i="7"/>
  <c r="T183" i="7"/>
  <c r="R183" i="7"/>
  <c r="U183" i="7"/>
  <c r="S183" i="7"/>
  <c r="Q183" i="7"/>
  <c r="E183" i="7"/>
  <c r="D183" i="7"/>
  <c r="C183" i="7"/>
  <c r="B183" i="7"/>
  <c r="K181" i="7"/>
  <c r="H181" i="7"/>
  <c r="G181" i="7"/>
  <c r="E181" i="7"/>
  <c r="E180" i="7"/>
  <c r="J179" i="7"/>
  <c r="E179" i="7"/>
  <c r="J178" i="7"/>
  <c r="I178" i="7"/>
  <c r="H178" i="7"/>
  <c r="G178" i="7"/>
  <c r="F178" i="7"/>
  <c r="J177" i="7"/>
  <c r="I182" i="7" s="1"/>
  <c r="I177" i="7"/>
  <c r="H177" i="7"/>
  <c r="G177" i="7"/>
  <c r="F177" i="7"/>
  <c r="V176" i="7"/>
  <c r="T176" i="7"/>
  <c r="J180" i="7" s="1"/>
  <c r="R176" i="7"/>
  <c r="U176" i="7"/>
  <c r="S176" i="7"/>
  <c r="Q176" i="7"/>
  <c r="E176" i="7"/>
  <c r="D176" i="7"/>
  <c r="C176" i="7"/>
  <c r="B176" i="7"/>
  <c r="E174" i="7"/>
  <c r="J173" i="7"/>
  <c r="I173" i="7"/>
  <c r="H173" i="7"/>
  <c r="F173" i="7"/>
  <c r="V173" i="7"/>
  <c r="T173" i="7"/>
  <c r="R173" i="7"/>
  <c r="U173" i="7"/>
  <c r="S173" i="7"/>
  <c r="Q173" i="7"/>
  <c r="E173" i="7"/>
  <c r="D173" i="7"/>
  <c r="C173" i="7"/>
  <c r="B173" i="7"/>
  <c r="J172" i="7"/>
  <c r="I172" i="7"/>
  <c r="H172" i="7"/>
  <c r="G172" i="7"/>
  <c r="F172" i="7"/>
  <c r="J171" i="7"/>
  <c r="I171" i="7"/>
  <c r="H171" i="7"/>
  <c r="G171" i="7"/>
  <c r="F171" i="7"/>
  <c r="J170" i="7"/>
  <c r="I175" i="7" s="1"/>
  <c r="I170" i="7"/>
  <c r="H170" i="7"/>
  <c r="G170" i="7"/>
  <c r="F170" i="7"/>
  <c r="V169" i="7"/>
  <c r="J174" i="7" s="1"/>
  <c r="T169" i="7"/>
  <c r="R169" i="7"/>
  <c r="U169" i="7"/>
  <c r="S169" i="7"/>
  <c r="Q169" i="7"/>
  <c r="E169" i="7"/>
  <c r="D169" i="7"/>
  <c r="C169" i="7"/>
  <c r="B169" i="7"/>
  <c r="K167" i="7"/>
  <c r="H167" i="7"/>
  <c r="G167" i="7"/>
  <c r="E167" i="7"/>
  <c r="J166" i="7"/>
  <c r="E166" i="7"/>
  <c r="J165" i="7"/>
  <c r="E165" i="7"/>
  <c r="J164" i="7"/>
  <c r="I168" i="7" s="1"/>
  <c r="I164" i="7"/>
  <c r="H164" i="7"/>
  <c r="G164" i="7"/>
  <c r="F164" i="7"/>
  <c r="J163" i="7"/>
  <c r="I163" i="7"/>
  <c r="H163" i="7"/>
  <c r="G163" i="7"/>
  <c r="F163" i="7"/>
  <c r="V162" i="7"/>
  <c r="T162" i="7"/>
  <c r="R162" i="7"/>
  <c r="U162" i="7"/>
  <c r="S162" i="7"/>
  <c r="Q162" i="7"/>
  <c r="E162" i="7"/>
  <c r="D162" i="7"/>
  <c r="C162" i="7"/>
  <c r="B162" i="7"/>
  <c r="K160" i="7"/>
  <c r="H160" i="7"/>
  <c r="G160" i="7"/>
  <c r="E160" i="7"/>
  <c r="E159" i="7"/>
  <c r="E158" i="7"/>
  <c r="J157" i="7"/>
  <c r="I157" i="7"/>
  <c r="H157" i="7"/>
  <c r="G157" i="7"/>
  <c r="F157" i="7"/>
  <c r="C156" i="7"/>
  <c r="V155" i="7"/>
  <c r="T155" i="7"/>
  <c r="J159" i="7" s="1"/>
  <c r="R155" i="7"/>
  <c r="J158" i="7" s="1"/>
  <c r="I161" i="7" s="1"/>
  <c r="U155" i="7"/>
  <c r="S155" i="7"/>
  <c r="Q155" i="7"/>
  <c r="E155" i="7"/>
  <c r="D155" i="7"/>
  <c r="C155" i="7"/>
  <c r="B155" i="7"/>
  <c r="K153" i="7"/>
  <c r="H153" i="7"/>
  <c r="G153" i="7"/>
  <c r="E153" i="7"/>
  <c r="E152" i="7"/>
  <c r="E151" i="7"/>
  <c r="J150" i="7"/>
  <c r="I150" i="7"/>
  <c r="H150" i="7"/>
  <c r="G150" i="7"/>
  <c r="F150" i="7"/>
  <c r="V149" i="7"/>
  <c r="T149" i="7"/>
  <c r="J152" i="7" s="1"/>
  <c r="R149" i="7"/>
  <c r="J151" i="7" s="1"/>
  <c r="U149" i="7"/>
  <c r="S149" i="7"/>
  <c r="Q149" i="7"/>
  <c r="E149" i="7"/>
  <c r="D149" i="7"/>
  <c r="C149" i="7"/>
  <c r="B149" i="7"/>
  <c r="E147" i="7"/>
  <c r="J146" i="7"/>
  <c r="I146" i="7"/>
  <c r="H146" i="7"/>
  <c r="F146" i="7"/>
  <c r="V146" i="7"/>
  <c r="T146" i="7"/>
  <c r="R146" i="7"/>
  <c r="U146" i="7"/>
  <c r="S146" i="7"/>
  <c r="Q146" i="7"/>
  <c r="E146" i="7"/>
  <c r="D146" i="7"/>
  <c r="C146" i="7"/>
  <c r="B146" i="7"/>
  <c r="J145" i="7"/>
  <c r="I145" i="7"/>
  <c r="H145" i="7"/>
  <c r="G145" i="7"/>
  <c r="F145" i="7"/>
  <c r="J144" i="7"/>
  <c r="I144" i="7"/>
  <c r="H144" i="7"/>
  <c r="G144" i="7"/>
  <c r="F144" i="7"/>
  <c r="J143" i="7"/>
  <c r="I148" i="7" s="1"/>
  <c r="I143" i="7"/>
  <c r="H143" i="7"/>
  <c r="G143" i="7"/>
  <c r="F143" i="7"/>
  <c r="V142" i="7"/>
  <c r="J147" i="7" s="1"/>
  <c r="T142" i="7"/>
  <c r="R142" i="7"/>
  <c r="U142" i="7"/>
  <c r="S142" i="7"/>
  <c r="Q142" i="7"/>
  <c r="E142" i="7"/>
  <c r="D142" i="7"/>
  <c r="C142" i="7"/>
  <c r="B142" i="7"/>
  <c r="A141" i="7"/>
  <c r="AF138" i="7"/>
  <c r="A138" i="7"/>
  <c r="K135" i="7"/>
  <c r="H135" i="7"/>
  <c r="G135" i="7"/>
  <c r="E135" i="7"/>
  <c r="J134" i="7"/>
  <c r="E134" i="7"/>
  <c r="J133" i="7"/>
  <c r="E133" i="7"/>
  <c r="J132" i="7"/>
  <c r="I136" i="7" s="1"/>
  <c r="I132" i="7"/>
  <c r="H132" i="7"/>
  <c r="G132" i="7"/>
  <c r="F132" i="7"/>
  <c r="V131" i="7"/>
  <c r="T131" i="7"/>
  <c r="R131" i="7"/>
  <c r="U131" i="7"/>
  <c r="S131" i="7"/>
  <c r="Q131" i="7"/>
  <c r="E131" i="7"/>
  <c r="D131" i="7"/>
  <c r="C131" i="7"/>
  <c r="B131" i="7"/>
  <c r="K129" i="7"/>
  <c r="H129" i="7"/>
  <c r="G129" i="7"/>
  <c r="E129" i="7"/>
  <c r="J128" i="7"/>
  <c r="E128" i="7"/>
  <c r="J127" i="7"/>
  <c r="I130" i="7" s="1"/>
  <c r="E127" i="7"/>
  <c r="J126" i="7"/>
  <c r="I126" i="7"/>
  <c r="H126" i="7"/>
  <c r="G126" i="7"/>
  <c r="F126" i="7"/>
  <c r="V125" i="7"/>
  <c r="T125" i="7"/>
  <c r="R125" i="7"/>
  <c r="U125" i="7"/>
  <c r="S125" i="7"/>
  <c r="Q125" i="7"/>
  <c r="E125" i="7"/>
  <c r="D125" i="7"/>
  <c r="C125" i="7"/>
  <c r="B125" i="7"/>
  <c r="K123" i="7"/>
  <c r="H123" i="7"/>
  <c r="G123" i="7"/>
  <c r="E123" i="7"/>
  <c r="E122" i="7"/>
  <c r="E121" i="7"/>
  <c r="J120" i="7"/>
  <c r="I120" i="7"/>
  <c r="H120" i="7"/>
  <c r="G120" i="7"/>
  <c r="F120" i="7"/>
  <c r="J119" i="7"/>
  <c r="I119" i="7"/>
  <c r="H119" i="7"/>
  <c r="G119" i="7"/>
  <c r="F119" i="7"/>
  <c r="V118" i="7"/>
  <c r="T118" i="7"/>
  <c r="J122" i="7" s="1"/>
  <c r="R118" i="7"/>
  <c r="J121" i="7" s="1"/>
  <c r="I124" i="7" s="1"/>
  <c r="U118" i="7"/>
  <c r="S118" i="7"/>
  <c r="Q118" i="7"/>
  <c r="E118" i="7"/>
  <c r="D118" i="7"/>
  <c r="C118" i="7"/>
  <c r="B118" i="7"/>
  <c r="K116" i="7"/>
  <c r="H116" i="7"/>
  <c r="G116" i="7"/>
  <c r="E116" i="7"/>
  <c r="E115" i="7"/>
  <c r="E114" i="7"/>
  <c r="J113" i="7"/>
  <c r="I113" i="7"/>
  <c r="H113" i="7"/>
  <c r="G113" i="7"/>
  <c r="F113" i="7"/>
  <c r="V112" i="7"/>
  <c r="T112" i="7"/>
  <c r="J115" i="7" s="1"/>
  <c r="R112" i="7"/>
  <c r="J114" i="7" s="1"/>
  <c r="U112" i="7"/>
  <c r="S112" i="7"/>
  <c r="Q112" i="7"/>
  <c r="E112" i="7"/>
  <c r="D112" i="7"/>
  <c r="C112" i="7"/>
  <c r="B112" i="7"/>
  <c r="J110" i="7"/>
  <c r="E110" i="7"/>
  <c r="J109" i="7"/>
  <c r="I109" i="7"/>
  <c r="H109" i="7"/>
  <c r="G109" i="7"/>
  <c r="F109" i="7"/>
  <c r="J108" i="7"/>
  <c r="I111" i="7" s="1"/>
  <c r="I108" i="7"/>
  <c r="H108" i="7"/>
  <c r="G108" i="7"/>
  <c r="F108" i="7"/>
  <c r="V107" i="7"/>
  <c r="T107" i="7"/>
  <c r="R107" i="7"/>
  <c r="U107" i="7"/>
  <c r="S107" i="7"/>
  <c r="Q107" i="7"/>
  <c r="E107" i="7"/>
  <c r="D107" i="7"/>
  <c r="C107" i="7"/>
  <c r="B107" i="7"/>
  <c r="K105" i="7"/>
  <c r="H105" i="7"/>
  <c r="G105" i="7"/>
  <c r="E105" i="7"/>
  <c r="J104" i="7"/>
  <c r="E104" i="7"/>
  <c r="J103" i="7"/>
  <c r="E103" i="7"/>
  <c r="J102" i="7"/>
  <c r="I106" i="7" s="1"/>
  <c r="E102" i="7"/>
  <c r="J101" i="7"/>
  <c r="I101" i="7"/>
  <c r="H101" i="7"/>
  <c r="G101" i="7"/>
  <c r="F101" i="7"/>
  <c r="J100" i="7"/>
  <c r="I100" i="7"/>
  <c r="H100" i="7"/>
  <c r="G100" i="7"/>
  <c r="F100" i="7"/>
  <c r="J99" i="7"/>
  <c r="I99" i="7"/>
  <c r="H99" i="7"/>
  <c r="G99" i="7"/>
  <c r="F99" i="7"/>
  <c r="V98" i="7"/>
  <c r="T98" i="7"/>
  <c r="R98" i="7"/>
  <c r="U98" i="7"/>
  <c r="S98" i="7"/>
  <c r="Q98" i="7"/>
  <c r="E98" i="7"/>
  <c r="D98" i="7"/>
  <c r="C98" i="7"/>
  <c r="B98" i="7"/>
  <c r="K96" i="7"/>
  <c r="H96" i="7"/>
  <c r="G96" i="7"/>
  <c r="E96" i="7"/>
  <c r="E95" i="7"/>
  <c r="J94" i="7"/>
  <c r="E94" i="7"/>
  <c r="J93" i="7"/>
  <c r="I97" i="7" s="1"/>
  <c r="I93" i="7"/>
  <c r="H93" i="7"/>
  <c r="G93" i="7"/>
  <c r="F93" i="7"/>
  <c r="V92" i="7"/>
  <c r="T92" i="7"/>
  <c r="J95" i="7" s="1"/>
  <c r="R92" i="7"/>
  <c r="U92" i="7"/>
  <c r="S92" i="7"/>
  <c r="Q92" i="7"/>
  <c r="E92" i="7"/>
  <c r="D92" i="7"/>
  <c r="C92" i="7"/>
  <c r="B92" i="7"/>
  <c r="K90" i="7"/>
  <c r="H90" i="7"/>
  <c r="G90" i="7"/>
  <c r="E90" i="7"/>
  <c r="E89" i="7"/>
  <c r="E88" i="7"/>
  <c r="E87" i="7"/>
  <c r="J86" i="7"/>
  <c r="I86" i="7"/>
  <c r="H86" i="7"/>
  <c r="G86" i="7"/>
  <c r="F86" i="7"/>
  <c r="J85" i="7"/>
  <c r="I85" i="7"/>
  <c r="H85" i="7"/>
  <c r="G85" i="7"/>
  <c r="F85" i="7"/>
  <c r="J84" i="7"/>
  <c r="I84" i="7"/>
  <c r="H84" i="7"/>
  <c r="G84" i="7"/>
  <c r="F84" i="7"/>
  <c r="J83" i="7"/>
  <c r="I83" i="7"/>
  <c r="H83" i="7"/>
  <c r="G83" i="7"/>
  <c r="F83" i="7"/>
  <c r="V82" i="7"/>
  <c r="J89" i="7" s="1"/>
  <c r="T82" i="7"/>
  <c r="J88" i="7" s="1"/>
  <c r="R82" i="7"/>
  <c r="J87" i="7" s="1"/>
  <c r="U82" i="7"/>
  <c r="S82" i="7"/>
  <c r="Q82" i="7"/>
  <c r="E82" i="7"/>
  <c r="D82" i="7"/>
  <c r="C82" i="7"/>
  <c r="B82" i="7"/>
  <c r="K80" i="7"/>
  <c r="H80" i="7"/>
  <c r="G80" i="7"/>
  <c r="E80" i="7"/>
  <c r="J79" i="7"/>
  <c r="E79" i="7"/>
  <c r="J78" i="7"/>
  <c r="E78" i="7"/>
  <c r="J77" i="7"/>
  <c r="I81" i="7" s="1"/>
  <c r="I77" i="7"/>
  <c r="H77" i="7"/>
  <c r="G77" i="7"/>
  <c r="F77" i="7"/>
  <c r="J76" i="7"/>
  <c r="I76" i="7"/>
  <c r="H76" i="7"/>
  <c r="G76" i="7"/>
  <c r="F76" i="7"/>
  <c r="V75" i="7"/>
  <c r="T75" i="7"/>
  <c r="R75" i="7"/>
  <c r="U75" i="7"/>
  <c r="S75" i="7"/>
  <c r="Q75" i="7"/>
  <c r="E75" i="7"/>
  <c r="D75" i="7"/>
  <c r="C75" i="7"/>
  <c r="B75" i="7"/>
  <c r="K73" i="7"/>
  <c r="H73" i="7"/>
  <c r="G73" i="7"/>
  <c r="E73" i="7"/>
  <c r="E72" i="7"/>
  <c r="E71" i="7"/>
  <c r="J70" i="7"/>
  <c r="I70" i="7"/>
  <c r="H70" i="7"/>
  <c r="G70" i="7"/>
  <c r="F70" i="7"/>
  <c r="V69" i="7"/>
  <c r="T69" i="7"/>
  <c r="J72" i="7" s="1"/>
  <c r="R69" i="7"/>
  <c r="J71" i="7" s="1"/>
  <c r="U69" i="7"/>
  <c r="S69" i="7"/>
  <c r="Q69" i="7"/>
  <c r="E69" i="7"/>
  <c r="D69" i="7"/>
  <c r="C69" i="7"/>
  <c r="B69" i="7"/>
  <c r="K67" i="7"/>
  <c r="H67" i="7"/>
  <c r="G67" i="7"/>
  <c r="E67" i="7"/>
  <c r="E66" i="7"/>
  <c r="E65" i="7"/>
  <c r="J64" i="7"/>
  <c r="I64" i="7"/>
  <c r="H64" i="7"/>
  <c r="G64" i="7"/>
  <c r="F64" i="7"/>
  <c r="C63" i="7"/>
  <c r="V62" i="7"/>
  <c r="T62" i="7"/>
  <c r="J66" i="7" s="1"/>
  <c r="R62" i="7"/>
  <c r="J65" i="7" s="1"/>
  <c r="U62" i="7"/>
  <c r="S62" i="7"/>
  <c r="Q62" i="7"/>
  <c r="E62" i="7"/>
  <c r="D62" i="7"/>
  <c r="C62" i="7"/>
  <c r="B62" i="7"/>
  <c r="K60" i="7"/>
  <c r="H60" i="7"/>
  <c r="G60" i="7"/>
  <c r="E60" i="7"/>
  <c r="E59" i="7"/>
  <c r="E58" i="7"/>
  <c r="J57" i="7"/>
  <c r="I57" i="7"/>
  <c r="H57" i="7"/>
  <c r="G57" i="7"/>
  <c r="F57" i="7"/>
  <c r="V56" i="7"/>
  <c r="T56" i="7"/>
  <c r="J59" i="7" s="1"/>
  <c r="R56" i="7"/>
  <c r="J58" i="7" s="1"/>
  <c r="U56" i="7"/>
  <c r="S56" i="7"/>
  <c r="Q56" i="7"/>
  <c r="E56" i="7"/>
  <c r="D56" i="7"/>
  <c r="C56" i="7"/>
  <c r="B56" i="7"/>
  <c r="E54" i="7"/>
  <c r="J53" i="7"/>
  <c r="I53" i="7"/>
  <c r="H53" i="7"/>
  <c r="F53" i="7"/>
  <c r="V53" i="7"/>
  <c r="T53" i="7"/>
  <c r="R53" i="7"/>
  <c r="U53" i="7"/>
  <c r="S53" i="7"/>
  <c r="Q53" i="7"/>
  <c r="E53" i="7"/>
  <c r="D53" i="7"/>
  <c r="C53" i="7"/>
  <c r="B53" i="7"/>
  <c r="J52" i="7"/>
  <c r="I52" i="7"/>
  <c r="H52" i="7"/>
  <c r="G52" i="7"/>
  <c r="F52" i="7"/>
  <c r="J51" i="7"/>
  <c r="I51" i="7"/>
  <c r="H51" i="7"/>
  <c r="G51" i="7"/>
  <c r="F51" i="7"/>
  <c r="J50" i="7"/>
  <c r="I50" i="7"/>
  <c r="H50" i="7"/>
  <c r="G50" i="7"/>
  <c r="F50" i="7"/>
  <c r="V49" i="7"/>
  <c r="J54" i="7" s="1"/>
  <c r="T49" i="7"/>
  <c r="R49" i="7"/>
  <c r="U49" i="7"/>
  <c r="S49" i="7"/>
  <c r="Q49" i="7"/>
  <c r="E49" i="7"/>
  <c r="D49" i="7"/>
  <c r="C49" i="7"/>
  <c r="B49" i="7"/>
  <c r="K47" i="7"/>
  <c r="H47" i="7"/>
  <c r="G47" i="7"/>
  <c r="E47" i="7"/>
  <c r="J46" i="7"/>
  <c r="E46" i="7"/>
  <c r="J45" i="7"/>
  <c r="E45" i="7"/>
  <c r="J44" i="7"/>
  <c r="I48" i="7" s="1"/>
  <c r="I44" i="7"/>
  <c r="H44" i="7"/>
  <c r="G44" i="7"/>
  <c r="F44" i="7"/>
  <c r="V43" i="7"/>
  <c r="T43" i="7"/>
  <c r="R43" i="7"/>
  <c r="U43" i="7"/>
  <c r="S43" i="7"/>
  <c r="Q43" i="7"/>
  <c r="E43" i="7"/>
  <c r="D43" i="7"/>
  <c r="C43" i="7"/>
  <c r="B43" i="7"/>
  <c r="J41" i="7"/>
  <c r="E41" i="7"/>
  <c r="J40" i="7"/>
  <c r="I40" i="7"/>
  <c r="H40" i="7"/>
  <c r="G40" i="7"/>
  <c r="F40" i="7"/>
  <c r="J39" i="7"/>
  <c r="I42" i="7" s="1"/>
  <c r="I39" i="7"/>
  <c r="H39" i="7"/>
  <c r="G39" i="7"/>
  <c r="F39" i="7"/>
  <c r="V38" i="7"/>
  <c r="T38" i="7"/>
  <c r="R38" i="7"/>
  <c r="U38" i="7"/>
  <c r="S38" i="7"/>
  <c r="Q38" i="7"/>
  <c r="E38" i="7"/>
  <c r="D38" i="7"/>
  <c r="C38" i="7"/>
  <c r="B38" i="7"/>
  <c r="A35" i="7"/>
  <c r="A33" i="7"/>
  <c r="A19" i="7"/>
  <c r="A16" i="7"/>
  <c r="A13" i="7"/>
  <c r="A10" i="7"/>
  <c r="G6" i="7"/>
  <c r="B6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1" i="3"/>
  <c r="Y1" i="3"/>
  <c r="CW1" i="3"/>
  <c r="CX1" i="3"/>
  <c r="CY1" i="3"/>
  <c r="CZ1" i="3"/>
  <c r="DA1" i="3"/>
  <c r="DB1" i="3"/>
  <c r="DC1" i="3"/>
  <c r="A2" i="3"/>
  <c r="Y2" i="3"/>
  <c r="CU2" i="3"/>
  <c r="CV2" i="3"/>
  <c r="CX2" i="3"/>
  <c r="CY2" i="3"/>
  <c r="CZ2" i="3"/>
  <c r="DA2" i="3"/>
  <c r="DB2" i="3"/>
  <c r="DC2" i="3"/>
  <c r="DF2" i="3"/>
  <c r="DG2" i="3"/>
  <c r="DH2" i="3"/>
  <c r="DI2" i="3"/>
  <c r="DJ2" i="3"/>
  <c r="A3" i="3"/>
  <c r="Y3" i="3"/>
  <c r="CW3" i="3"/>
  <c r="CX3" i="3"/>
  <c r="CY3" i="3"/>
  <c r="CZ3" i="3"/>
  <c r="DA3" i="3"/>
  <c r="DB3" i="3"/>
  <c r="DC3" i="3"/>
  <c r="A4" i="3"/>
  <c r="Y4" i="3"/>
  <c r="CX4" i="3"/>
  <c r="CY4" i="3"/>
  <c r="CZ4" i="3"/>
  <c r="DA4" i="3"/>
  <c r="DB4" i="3"/>
  <c r="DC4" i="3"/>
  <c r="DF4" i="3"/>
  <c r="DJ4" i="3" s="1"/>
  <c r="DG4" i="3"/>
  <c r="DH4" i="3"/>
  <c r="DI4" i="3"/>
  <c r="A5" i="3"/>
  <c r="Y5" i="3"/>
  <c r="CU5" i="3"/>
  <c r="CV5" i="3"/>
  <c r="CX5" i="3"/>
  <c r="CY5" i="3"/>
  <c r="CZ5" i="3"/>
  <c r="DA5" i="3"/>
  <c r="DB5" i="3"/>
  <c r="DC5" i="3"/>
  <c r="DF5" i="3"/>
  <c r="DG5" i="3"/>
  <c r="DH5" i="3"/>
  <c r="DI5" i="3"/>
  <c r="DJ5" i="3"/>
  <c r="A6" i="3"/>
  <c r="Y6" i="3"/>
  <c r="CU6" i="3"/>
  <c r="CV6" i="3"/>
  <c r="CX6" i="3"/>
  <c r="CY6" i="3"/>
  <c r="CZ6" i="3"/>
  <c r="DA6" i="3"/>
  <c r="DB6" i="3"/>
  <c r="DC6" i="3"/>
  <c r="A7" i="3"/>
  <c r="Y7" i="3"/>
  <c r="CU7" i="3"/>
  <c r="CV7" i="3"/>
  <c r="CX7" i="3"/>
  <c r="DI7" i="3" s="1"/>
  <c r="DJ7" i="3" s="1"/>
  <c r="CY7" i="3"/>
  <c r="CZ7" i="3"/>
  <c r="DA7" i="3"/>
  <c r="DB7" i="3"/>
  <c r="DC7" i="3"/>
  <c r="DF7" i="3"/>
  <c r="DG7" i="3"/>
  <c r="DH7" i="3"/>
  <c r="A8" i="3"/>
  <c r="Y8" i="3"/>
  <c r="CX8" i="3" s="1"/>
  <c r="CU8" i="3"/>
  <c r="CV8" i="3"/>
  <c r="CY8" i="3"/>
  <c r="CZ8" i="3"/>
  <c r="DB8" i="3" s="1"/>
  <c r="DA8" i="3"/>
  <c r="DC8" i="3"/>
  <c r="DF8" i="3"/>
  <c r="A9" i="3"/>
  <c r="Y9" i="3"/>
  <c r="CX9" i="3"/>
  <c r="CY9" i="3"/>
  <c r="CZ9" i="3"/>
  <c r="DB9" i="3" s="1"/>
  <c r="DA9" i="3"/>
  <c r="DC9" i="3"/>
  <c r="DF9" i="3"/>
  <c r="DJ9" i="3" s="1"/>
  <c r="DG9" i="3"/>
  <c r="DH9" i="3"/>
  <c r="DI9" i="3"/>
  <c r="A10" i="3"/>
  <c r="Y10" i="3"/>
  <c r="CU10" i="3"/>
  <c r="CY10" i="3"/>
  <c r="CZ10" i="3"/>
  <c r="DA10" i="3"/>
  <c r="DB10" i="3"/>
  <c r="DC10" i="3"/>
  <c r="A11" i="3"/>
  <c r="Y11" i="3"/>
  <c r="CW11" i="3"/>
  <c r="CX11" i="3"/>
  <c r="DI11" i="3" s="1"/>
  <c r="CY11" i="3"/>
  <c r="CZ11" i="3"/>
  <c r="DB11" i="3" s="1"/>
  <c r="DA11" i="3"/>
  <c r="DC11" i="3"/>
  <c r="DF11" i="3"/>
  <c r="DG11" i="3"/>
  <c r="DJ11" i="3" s="1"/>
  <c r="DH11" i="3"/>
  <c r="A12" i="3"/>
  <c r="Y12" i="3"/>
  <c r="CX12" i="3"/>
  <c r="CY12" i="3"/>
  <c r="CZ12" i="3"/>
  <c r="DA12" i="3"/>
  <c r="DB12" i="3"/>
  <c r="DC12" i="3"/>
  <c r="DI12" i="3"/>
  <c r="A13" i="3"/>
  <c r="Y13" i="3"/>
  <c r="CX13" i="3" s="1"/>
  <c r="CU13" i="3"/>
  <c r="CV13" i="3"/>
  <c r="CY13" i="3"/>
  <c r="CZ13" i="3"/>
  <c r="DA13" i="3"/>
  <c r="DB13" i="3"/>
  <c r="DC13" i="3"/>
  <c r="DI13" i="3"/>
  <c r="DJ13" i="3"/>
  <c r="A14" i="3"/>
  <c r="Y14" i="3"/>
  <c r="CU14" i="3"/>
  <c r="CV14" i="3"/>
  <c r="CX14" i="3"/>
  <c r="CY14" i="3"/>
  <c r="CZ14" i="3"/>
  <c r="DB14" i="3" s="1"/>
  <c r="DA14" i="3"/>
  <c r="DC14" i="3"/>
  <c r="DF14" i="3"/>
  <c r="DI14" i="3"/>
  <c r="DJ14" i="3" s="1"/>
  <c r="A15" i="3"/>
  <c r="Y15" i="3"/>
  <c r="CX15" i="3" s="1"/>
  <c r="CW15" i="3"/>
  <c r="CY15" i="3"/>
  <c r="CZ15" i="3"/>
  <c r="DA15" i="3"/>
  <c r="DB15" i="3"/>
  <c r="DC15" i="3"/>
  <c r="A16" i="3"/>
  <c r="Y16" i="3"/>
  <c r="CW16" i="3" s="1"/>
  <c r="CX16" i="3"/>
  <c r="CY16" i="3"/>
  <c r="CZ16" i="3"/>
  <c r="DB16" i="3" s="1"/>
  <c r="DA16" i="3"/>
  <c r="DC16" i="3"/>
  <c r="DF16" i="3"/>
  <c r="DI16" i="3"/>
  <c r="A17" i="3"/>
  <c r="Y17" i="3"/>
  <c r="CU17" i="3"/>
  <c r="CY17" i="3"/>
  <c r="CZ17" i="3"/>
  <c r="DB17" i="3" s="1"/>
  <c r="DA17" i="3"/>
  <c r="DC17" i="3"/>
  <c r="A18" i="3"/>
  <c r="Y18" i="3"/>
  <c r="CU18" i="3"/>
  <c r="CV18" i="3"/>
  <c r="CX18" i="3"/>
  <c r="CY18" i="3"/>
  <c r="CZ18" i="3"/>
  <c r="DA18" i="3"/>
  <c r="DB18" i="3"/>
  <c r="DC18" i="3"/>
  <c r="A19" i="3"/>
  <c r="Y19" i="3"/>
  <c r="CX19" i="3"/>
  <c r="CY19" i="3"/>
  <c r="CZ19" i="3"/>
  <c r="DA19" i="3"/>
  <c r="DB19" i="3"/>
  <c r="DC19" i="3"/>
  <c r="DF19" i="3"/>
  <c r="DG19" i="3"/>
  <c r="DJ19" i="3"/>
  <c r="A20" i="3"/>
  <c r="Y20" i="3"/>
  <c r="CU20" i="3"/>
  <c r="CY20" i="3"/>
  <c r="CZ20" i="3"/>
  <c r="DB20" i="3" s="1"/>
  <c r="DA20" i="3"/>
  <c r="DC20" i="3"/>
  <c r="A21" i="3"/>
  <c r="Y21" i="3"/>
  <c r="CU21" i="3"/>
  <c r="CY21" i="3"/>
  <c r="CZ21" i="3"/>
  <c r="DA21" i="3"/>
  <c r="DB21" i="3"/>
  <c r="DC21" i="3"/>
  <c r="A22" i="3"/>
  <c r="Y22" i="3"/>
  <c r="CW22" i="3"/>
  <c r="CX22" i="3"/>
  <c r="CY22" i="3"/>
  <c r="CZ22" i="3"/>
  <c r="DB22" i="3" s="1"/>
  <c r="DA22" i="3"/>
  <c r="DC22" i="3"/>
  <c r="DF22" i="3"/>
  <c r="A23" i="3"/>
  <c r="Y23" i="3"/>
  <c r="CX23" i="3" s="1"/>
  <c r="DI23" i="3" s="1"/>
  <c r="CY23" i="3"/>
  <c r="CZ23" i="3"/>
  <c r="DA23" i="3"/>
  <c r="DB23" i="3"/>
  <c r="DC23" i="3"/>
  <c r="DF23" i="3"/>
  <c r="DJ23" i="3" s="1"/>
  <c r="DG23" i="3"/>
  <c r="DH23" i="3"/>
  <c r="A24" i="3"/>
  <c r="Y24" i="3"/>
  <c r="CV24" i="3" s="1"/>
  <c r="CU24" i="3"/>
  <c r="CX24" i="3"/>
  <c r="CY24" i="3"/>
  <c r="CZ24" i="3"/>
  <c r="DA24" i="3"/>
  <c r="DB24" i="3"/>
  <c r="DC24" i="3"/>
  <c r="A25" i="3"/>
  <c r="Y25" i="3"/>
  <c r="CY25" i="3"/>
  <c r="CZ25" i="3"/>
  <c r="DA25" i="3"/>
  <c r="DB25" i="3"/>
  <c r="DC25" i="3"/>
  <c r="A26" i="3"/>
  <c r="Y26" i="3"/>
  <c r="CX26" i="3" s="1"/>
  <c r="CU26" i="3"/>
  <c r="CV26" i="3"/>
  <c r="CY26" i="3"/>
  <c r="CZ26" i="3"/>
  <c r="DA26" i="3"/>
  <c r="DB26" i="3"/>
  <c r="DC26" i="3"/>
  <c r="DF26" i="3"/>
  <c r="DG26" i="3"/>
  <c r="DH26" i="3"/>
  <c r="DI26" i="3"/>
  <c r="DJ26" i="3" s="1"/>
  <c r="A27" i="3"/>
  <c r="Y27" i="3"/>
  <c r="CX27" i="3"/>
  <c r="CY27" i="3"/>
  <c r="CZ27" i="3"/>
  <c r="DB27" i="3" s="1"/>
  <c r="DA27" i="3"/>
  <c r="DC27" i="3"/>
  <c r="A28" i="3"/>
  <c r="Y28" i="3"/>
  <c r="CX28" i="3" s="1"/>
  <c r="CW28" i="3"/>
  <c r="CY28" i="3"/>
  <c r="CZ28" i="3"/>
  <c r="DB28" i="3" s="1"/>
  <c r="DA28" i="3"/>
  <c r="DC28" i="3"/>
  <c r="DF28" i="3"/>
  <c r="DG28" i="3"/>
  <c r="DH28" i="3"/>
  <c r="DI28" i="3"/>
  <c r="DJ28" i="3"/>
  <c r="A29" i="3"/>
  <c r="Y29" i="3"/>
  <c r="CX29" i="3"/>
  <c r="DF29" i="3" s="1"/>
  <c r="CY29" i="3"/>
  <c r="CZ29" i="3"/>
  <c r="DB29" i="3" s="1"/>
  <c r="DA29" i="3"/>
  <c r="DC29" i="3"/>
  <c r="DG29" i="3"/>
  <c r="DH29" i="3"/>
  <c r="DI29" i="3"/>
  <c r="DJ29" i="3"/>
  <c r="A30" i="3"/>
  <c r="Y30" i="3"/>
  <c r="CW30" i="3"/>
  <c r="CX30" i="3"/>
  <c r="DI30" i="3" s="1"/>
  <c r="CY30" i="3"/>
  <c r="CZ30" i="3"/>
  <c r="DA30" i="3"/>
  <c r="DB30" i="3"/>
  <c r="DC30" i="3"/>
  <c r="DF30" i="3"/>
  <c r="DG30" i="3"/>
  <c r="DJ30" i="3" s="1"/>
  <c r="DH30" i="3"/>
  <c r="A31" i="3"/>
  <c r="Y31" i="3"/>
  <c r="CX31" i="3"/>
  <c r="CY31" i="3"/>
  <c r="CZ31" i="3"/>
  <c r="DA31" i="3"/>
  <c r="DB31" i="3"/>
  <c r="DC31" i="3"/>
  <c r="DF31" i="3"/>
  <c r="DG31" i="3"/>
  <c r="DH31" i="3"/>
  <c r="DI31" i="3"/>
  <c r="DJ31" i="3"/>
  <c r="A32" i="3"/>
  <c r="Y32" i="3"/>
  <c r="CX32" i="3"/>
  <c r="CY32" i="3"/>
  <c r="CZ32" i="3"/>
  <c r="DA32" i="3"/>
  <c r="DB32" i="3"/>
  <c r="DC32" i="3"/>
  <c r="A33" i="3"/>
  <c r="Y33" i="3"/>
  <c r="CU33" i="3"/>
  <c r="CV33" i="3"/>
  <c r="CX33" i="3"/>
  <c r="CY33" i="3"/>
  <c r="CZ33" i="3"/>
  <c r="DB33" i="3" s="1"/>
  <c r="DA33" i="3"/>
  <c r="DC33" i="3"/>
  <c r="DH33" i="3"/>
  <c r="A34" i="3"/>
  <c r="Y34" i="3"/>
  <c r="CX34" i="3"/>
  <c r="CY34" i="3"/>
  <c r="CZ34" i="3"/>
  <c r="DA34" i="3"/>
  <c r="DB34" i="3"/>
  <c r="DC34" i="3"/>
  <c r="A35" i="3"/>
  <c r="Y35" i="3"/>
  <c r="CX35" i="3"/>
  <c r="CY35" i="3"/>
  <c r="CZ35" i="3"/>
  <c r="DB35" i="3" s="1"/>
  <c r="DA35" i="3"/>
  <c r="DC35" i="3"/>
  <c r="DF35" i="3"/>
  <c r="DJ35" i="3" s="1"/>
  <c r="DG35" i="3"/>
  <c r="DH35" i="3"/>
  <c r="DI35" i="3"/>
  <c r="A36" i="3"/>
  <c r="Y36" i="3"/>
  <c r="CU36" i="3"/>
  <c r="CV36" i="3"/>
  <c r="CX36" i="3"/>
  <c r="CY36" i="3"/>
  <c r="CZ36" i="3"/>
  <c r="DB36" i="3" s="1"/>
  <c r="DA36" i="3"/>
  <c r="DC36" i="3"/>
  <c r="DH36" i="3"/>
  <c r="DI36" i="3"/>
  <c r="DJ36" i="3"/>
  <c r="A37" i="3"/>
  <c r="Y37" i="3"/>
  <c r="CX37" i="3"/>
  <c r="CY37" i="3"/>
  <c r="CZ37" i="3"/>
  <c r="DA37" i="3"/>
  <c r="DB37" i="3"/>
  <c r="DC37" i="3"/>
  <c r="A38" i="3"/>
  <c r="Y38" i="3"/>
  <c r="CV38" i="3" s="1"/>
  <c r="CU38" i="3"/>
  <c r="CX38" i="3"/>
  <c r="CY38" i="3"/>
  <c r="CZ38" i="3"/>
  <c r="DA38" i="3"/>
  <c r="DB38" i="3"/>
  <c r="DC38" i="3"/>
  <c r="DH38" i="3"/>
  <c r="DI38" i="3"/>
  <c r="DJ38" i="3"/>
  <c r="A39" i="3"/>
  <c r="Y39" i="3"/>
  <c r="CX39" i="3"/>
  <c r="CY39" i="3"/>
  <c r="CZ39" i="3"/>
  <c r="DA39" i="3"/>
  <c r="DB39" i="3"/>
  <c r="DC39" i="3"/>
  <c r="DF39" i="3"/>
  <c r="DG39" i="3"/>
  <c r="DH39" i="3"/>
  <c r="DI39" i="3"/>
  <c r="DJ39" i="3"/>
  <c r="A40" i="3"/>
  <c r="Y40" i="3"/>
  <c r="CX40" i="3"/>
  <c r="CY40" i="3"/>
  <c r="CZ40" i="3"/>
  <c r="DA40" i="3"/>
  <c r="DB40" i="3"/>
  <c r="DC40" i="3"/>
  <c r="DF40" i="3"/>
  <c r="DJ40" i="3" s="1"/>
  <c r="DG40" i="3"/>
  <c r="A41" i="3"/>
  <c r="Y41" i="3"/>
  <c r="CX41" i="3"/>
  <c r="CY41" i="3"/>
  <c r="CZ41" i="3"/>
  <c r="DA41" i="3"/>
  <c r="DB41" i="3"/>
  <c r="DC41" i="3"/>
  <c r="A42" i="3"/>
  <c r="Y42" i="3"/>
  <c r="CU42" i="3"/>
  <c r="CY42" i="3"/>
  <c r="CZ42" i="3"/>
  <c r="DA42" i="3"/>
  <c r="DB42" i="3"/>
  <c r="DC42" i="3"/>
  <c r="A43" i="3"/>
  <c r="Y43" i="3"/>
  <c r="CU43" i="3"/>
  <c r="CY43" i="3"/>
  <c r="CZ43" i="3"/>
  <c r="DA43" i="3"/>
  <c r="DB43" i="3"/>
  <c r="DC43" i="3"/>
  <c r="A44" i="3"/>
  <c r="Y44" i="3"/>
  <c r="CX44" i="3" s="1"/>
  <c r="CW44" i="3"/>
  <c r="CY44" i="3"/>
  <c r="CZ44" i="3"/>
  <c r="DA44" i="3"/>
  <c r="DB44" i="3"/>
  <c r="DC44" i="3"/>
  <c r="DF44" i="3"/>
  <c r="DG44" i="3"/>
  <c r="DJ44" i="3" s="1"/>
  <c r="A45" i="3"/>
  <c r="Y45" i="3"/>
  <c r="CW45" i="3"/>
  <c r="CX45" i="3"/>
  <c r="CY45" i="3"/>
  <c r="CZ45" i="3"/>
  <c r="DB45" i="3" s="1"/>
  <c r="DA45" i="3"/>
  <c r="DC45" i="3"/>
  <c r="DF45" i="3"/>
  <c r="DG45" i="3"/>
  <c r="DJ45" i="3"/>
  <c r="A46" i="3"/>
  <c r="Y46" i="3"/>
  <c r="CX46" i="3"/>
  <c r="CY46" i="3"/>
  <c r="CZ46" i="3"/>
  <c r="DB46" i="3" s="1"/>
  <c r="DA46" i="3"/>
  <c r="DC46" i="3"/>
  <c r="A47" i="3"/>
  <c r="Y47" i="3"/>
  <c r="CX47" i="3"/>
  <c r="CY47" i="3"/>
  <c r="CZ47" i="3"/>
  <c r="DB47" i="3" s="1"/>
  <c r="DA47" i="3"/>
  <c r="DC47" i="3"/>
  <c r="A48" i="3"/>
  <c r="Y48" i="3"/>
  <c r="CW48" i="3" s="1"/>
  <c r="CY48" i="3"/>
  <c r="CZ48" i="3"/>
  <c r="DB48" i="3" s="1"/>
  <c r="DA48" i="3"/>
  <c r="DC48" i="3"/>
  <c r="A49" i="3"/>
  <c r="Y49" i="3"/>
  <c r="CY49" i="3"/>
  <c r="CZ49" i="3"/>
  <c r="DB49" i="3" s="1"/>
  <c r="DA49" i="3"/>
  <c r="DC49" i="3"/>
  <c r="A50" i="3"/>
  <c r="Y50" i="3"/>
  <c r="CU50" i="3"/>
  <c r="CV50" i="3"/>
  <c r="CX50" i="3"/>
  <c r="DI50" i="3" s="1"/>
  <c r="DJ50" i="3" s="1"/>
  <c r="CY50" i="3"/>
  <c r="CZ50" i="3"/>
  <c r="DA50" i="3"/>
  <c r="DB50" i="3"/>
  <c r="DC50" i="3"/>
  <c r="DF50" i="3"/>
  <c r="DG50" i="3"/>
  <c r="DH50" i="3"/>
  <c r="A51" i="3"/>
  <c r="Y51" i="3"/>
  <c r="CW51" i="3"/>
  <c r="CX51" i="3"/>
  <c r="CY51" i="3"/>
  <c r="CZ51" i="3"/>
  <c r="DB51" i="3" s="1"/>
  <c r="DA51" i="3"/>
  <c r="DC51" i="3"/>
  <c r="A52" i="3"/>
  <c r="Y52" i="3"/>
  <c r="CX52" i="3" s="1"/>
  <c r="CY52" i="3"/>
  <c r="CZ52" i="3"/>
  <c r="DA52" i="3"/>
  <c r="DB52" i="3"/>
  <c r="DC52" i="3"/>
  <c r="A53" i="3"/>
  <c r="Y53" i="3"/>
  <c r="CU53" i="3"/>
  <c r="CY53" i="3"/>
  <c r="CZ53" i="3"/>
  <c r="DB53" i="3" s="1"/>
  <c r="DA53" i="3"/>
  <c r="DC53" i="3"/>
  <c r="A54" i="3"/>
  <c r="Y54" i="3"/>
  <c r="CX54" i="3" s="1"/>
  <c r="CY54" i="3"/>
  <c r="CZ54" i="3"/>
  <c r="DB54" i="3" s="1"/>
  <c r="DA54" i="3"/>
  <c r="DC54" i="3"/>
  <c r="A55" i="3"/>
  <c r="Y55" i="3"/>
  <c r="CX55" i="3" s="1"/>
  <c r="CU55" i="3"/>
  <c r="CV55" i="3"/>
  <c r="CY55" i="3"/>
  <c r="CZ55" i="3"/>
  <c r="DB55" i="3" s="1"/>
  <c r="DA55" i="3"/>
  <c r="DC55" i="3"/>
  <c r="DF55" i="3"/>
  <c r="DG55" i="3"/>
  <c r="DH55" i="3"/>
  <c r="DI55" i="3"/>
  <c r="DJ55" i="3"/>
  <c r="A56" i="3"/>
  <c r="Y56" i="3"/>
  <c r="CY56" i="3"/>
  <c r="CZ56" i="3"/>
  <c r="DA56" i="3"/>
  <c r="DB56" i="3"/>
  <c r="DC56" i="3"/>
  <c r="A57" i="3"/>
  <c r="Y57" i="3"/>
  <c r="CV57" i="3" s="1"/>
  <c r="CU57" i="3"/>
  <c r="CX57" i="3"/>
  <c r="CY57" i="3"/>
  <c r="CZ57" i="3"/>
  <c r="DA57" i="3"/>
  <c r="DB57" i="3"/>
  <c r="DC57" i="3"/>
  <c r="A58" i="3"/>
  <c r="Y58" i="3"/>
  <c r="CX58" i="3" s="1"/>
  <c r="CW58" i="3"/>
  <c r="CY58" i="3"/>
  <c r="CZ58" i="3"/>
  <c r="DB58" i="3" s="1"/>
  <c r="DA58" i="3"/>
  <c r="DC58" i="3"/>
  <c r="DF58" i="3"/>
  <c r="A59" i="3"/>
  <c r="Y59" i="3"/>
  <c r="CX59" i="3" s="1"/>
  <c r="CY59" i="3"/>
  <c r="CZ59" i="3"/>
  <c r="DB59" i="3" s="1"/>
  <c r="DA59" i="3"/>
  <c r="DC59" i="3"/>
  <c r="A60" i="3"/>
  <c r="Y60" i="3"/>
  <c r="CU60" i="3"/>
  <c r="CY60" i="3"/>
  <c r="CZ60" i="3"/>
  <c r="DA60" i="3"/>
  <c r="DB60" i="3"/>
  <c r="DC60" i="3"/>
  <c r="A61" i="3"/>
  <c r="Y61" i="3"/>
  <c r="CX61" i="3"/>
  <c r="DI61" i="3" s="1"/>
  <c r="CY61" i="3"/>
  <c r="CZ61" i="3"/>
  <c r="DA61" i="3"/>
  <c r="DB61" i="3"/>
  <c r="DC61" i="3"/>
  <c r="DF61" i="3"/>
  <c r="DJ61" i="3" s="1"/>
  <c r="DG61" i="3"/>
  <c r="DH61" i="3"/>
  <c r="A62" i="3"/>
  <c r="Y62" i="3"/>
  <c r="CU62" i="3"/>
  <c r="CY62" i="3"/>
  <c r="CZ62" i="3"/>
  <c r="DB62" i="3" s="1"/>
  <c r="DA62" i="3"/>
  <c r="DC62" i="3"/>
  <c r="A63" i="3"/>
  <c r="Y63" i="3"/>
  <c r="CV63" i="3" s="1"/>
  <c r="CU63" i="3"/>
  <c r="CX63" i="3"/>
  <c r="DI63" i="3" s="1"/>
  <c r="DJ63" i="3" s="1"/>
  <c r="CY63" i="3"/>
  <c r="CZ63" i="3"/>
  <c r="DB63" i="3" s="1"/>
  <c r="DA63" i="3"/>
  <c r="DC63" i="3"/>
  <c r="DF63" i="3"/>
  <c r="DG63" i="3"/>
  <c r="DH63" i="3"/>
  <c r="A64" i="3"/>
  <c r="Y64" i="3"/>
  <c r="CW64" i="3"/>
  <c r="CX64" i="3"/>
  <c r="CY64" i="3"/>
  <c r="CZ64" i="3"/>
  <c r="DB64" i="3" s="1"/>
  <c r="DA64" i="3"/>
  <c r="DC64" i="3"/>
  <c r="DF64" i="3"/>
  <c r="DG64" i="3"/>
  <c r="DH64" i="3"/>
  <c r="DI64" i="3"/>
  <c r="DJ64" i="3"/>
  <c r="A65" i="3"/>
  <c r="Y65" i="3"/>
  <c r="CX65" i="3"/>
  <c r="CY65" i="3"/>
  <c r="CZ65" i="3"/>
  <c r="DA65" i="3"/>
  <c r="DB65" i="3"/>
  <c r="DC65" i="3"/>
  <c r="A66" i="3"/>
  <c r="Y66" i="3"/>
  <c r="CU66" i="3"/>
  <c r="CV66" i="3"/>
  <c r="CX66" i="3"/>
  <c r="CY66" i="3"/>
  <c r="CZ66" i="3"/>
  <c r="DA66" i="3"/>
  <c r="DB66" i="3"/>
  <c r="DC66" i="3"/>
  <c r="DF66" i="3"/>
  <c r="DG66" i="3"/>
  <c r="A67" i="3"/>
  <c r="Y67" i="3"/>
  <c r="CY67" i="3"/>
  <c r="CZ67" i="3"/>
  <c r="DA67" i="3"/>
  <c r="DB67" i="3"/>
  <c r="DC67" i="3"/>
  <c r="A68" i="3"/>
  <c r="Y68" i="3"/>
  <c r="CX68" i="3"/>
  <c r="CY68" i="3"/>
  <c r="CZ68" i="3"/>
  <c r="DA68" i="3"/>
  <c r="DB68" i="3"/>
  <c r="DC68" i="3"/>
  <c r="DG68" i="3"/>
  <c r="A69" i="3"/>
  <c r="Y69" i="3"/>
  <c r="CU69" i="3"/>
  <c r="CV69" i="3"/>
  <c r="CX69" i="3"/>
  <c r="CY69" i="3"/>
  <c r="CZ69" i="3"/>
  <c r="DA69" i="3"/>
  <c r="DB69" i="3"/>
  <c r="DC69" i="3"/>
  <c r="DI69" i="3"/>
  <c r="DJ69" i="3" s="1"/>
  <c r="A70" i="3"/>
  <c r="Y70" i="3"/>
  <c r="CY70" i="3"/>
  <c r="CZ70" i="3"/>
  <c r="DA70" i="3"/>
  <c r="DB70" i="3"/>
  <c r="DC70" i="3"/>
  <c r="A71" i="3"/>
  <c r="Y71" i="3"/>
  <c r="CY71" i="3"/>
  <c r="CZ71" i="3"/>
  <c r="DA71" i="3"/>
  <c r="DB71" i="3"/>
  <c r="DC71" i="3"/>
  <c r="A72" i="3"/>
  <c r="Y72" i="3"/>
  <c r="CY72" i="3"/>
  <c r="CZ72" i="3"/>
  <c r="DB72" i="3" s="1"/>
  <c r="DA72" i="3"/>
  <c r="DC72" i="3"/>
  <c r="A73" i="3"/>
  <c r="Y73" i="3"/>
  <c r="CY73" i="3"/>
  <c r="CZ73" i="3"/>
  <c r="DA73" i="3"/>
  <c r="DB73" i="3"/>
  <c r="DC73" i="3"/>
  <c r="A74" i="3"/>
  <c r="Y74" i="3"/>
  <c r="CY74" i="3"/>
  <c r="CZ74" i="3"/>
  <c r="DB74" i="3" s="1"/>
  <c r="DA74" i="3"/>
  <c r="DC74" i="3"/>
  <c r="A75" i="3"/>
  <c r="Y75" i="3"/>
  <c r="CU75" i="3"/>
  <c r="CV75" i="3"/>
  <c r="CX75" i="3"/>
  <c r="CY75" i="3"/>
  <c r="CZ75" i="3"/>
  <c r="DA75" i="3"/>
  <c r="DB75" i="3"/>
  <c r="DC75" i="3"/>
  <c r="DF75" i="3"/>
  <c r="DG75" i="3"/>
  <c r="DH75" i="3"/>
  <c r="DI75" i="3"/>
  <c r="DJ75" i="3"/>
  <c r="A76" i="3"/>
  <c r="Y76" i="3"/>
  <c r="CW76" i="3"/>
  <c r="CX76" i="3"/>
  <c r="DF76" i="3" s="1"/>
  <c r="CY76" i="3"/>
  <c r="CZ76" i="3"/>
  <c r="DB76" i="3" s="1"/>
  <c r="DA76" i="3"/>
  <c r="DC76" i="3"/>
  <c r="DG76" i="3"/>
  <c r="DJ76" i="3" s="1"/>
  <c r="DH76" i="3"/>
  <c r="DI76" i="3"/>
  <c r="A77" i="3"/>
  <c r="Y77" i="3"/>
  <c r="CX77" i="3"/>
  <c r="CY77" i="3"/>
  <c r="CZ77" i="3"/>
  <c r="DA77" i="3"/>
  <c r="DB77" i="3"/>
  <c r="DC77" i="3"/>
  <c r="DF77" i="3"/>
  <c r="DI77" i="3"/>
  <c r="DJ77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F22" i="1"/>
  <c r="G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D26" i="1"/>
  <c r="E26" i="1"/>
  <c r="F26" i="1"/>
  <c r="G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Q32" i="1"/>
  <c r="V32" i="1"/>
  <c r="AC32" i="1"/>
  <c r="CQ32" i="1" s="1"/>
  <c r="P32" i="1" s="1"/>
  <c r="AE32" i="1"/>
  <c r="AD32" i="1" s="1"/>
  <c r="AF32" i="1"/>
  <c r="CT32" i="1" s="1"/>
  <c r="S32" i="1" s="1"/>
  <c r="AG32" i="1"/>
  <c r="CU32" i="1" s="1"/>
  <c r="T32" i="1" s="1"/>
  <c r="AH32" i="1"/>
  <c r="CV32" i="1" s="1"/>
  <c r="U32" i="1" s="1"/>
  <c r="AI32" i="1"/>
  <c r="AJ32" i="1"/>
  <c r="CR32" i="1"/>
  <c r="CS32" i="1"/>
  <c r="R32" i="1" s="1"/>
  <c r="CW32" i="1"/>
  <c r="CX32" i="1"/>
  <c r="W32" i="1" s="1"/>
  <c r="GK32" i="1"/>
  <c r="GL32" i="1"/>
  <c r="GN32" i="1"/>
  <c r="GO32" i="1"/>
  <c r="GV32" i="1"/>
  <c r="HC32" i="1"/>
  <c r="GX32" i="1" s="1"/>
  <c r="C33" i="1"/>
  <c r="D33" i="1"/>
  <c r="P33" i="1"/>
  <c r="S33" i="1"/>
  <c r="U33" i="1"/>
  <c r="AC33" i="1"/>
  <c r="CQ33" i="1" s="1"/>
  <c r="AE33" i="1"/>
  <c r="AF33" i="1"/>
  <c r="CT33" i="1" s="1"/>
  <c r="AG33" i="1"/>
  <c r="AH33" i="1"/>
  <c r="CV33" i="1" s="1"/>
  <c r="AI33" i="1"/>
  <c r="CW33" i="1" s="1"/>
  <c r="V33" i="1" s="1"/>
  <c r="AJ33" i="1"/>
  <c r="CX33" i="1" s="1"/>
  <c r="W33" i="1" s="1"/>
  <c r="CU33" i="1"/>
  <c r="T33" i="1" s="1"/>
  <c r="CY33" i="1"/>
  <c r="X33" i="1" s="1"/>
  <c r="CZ33" i="1"/>
  <c r="Y33" i="1" s="1"/>
  <c r="GL33" i="1"/>
  <c r="GN33" i="1"/>
  <c r="GO33" i="1"/>
  <c r="GV33" i="1"/>
  <c r="HC33" i="1"/>
  <c r="GX33" i="1" s="1"/>
  <c r="C34" i="1"/>
  <c r="D34" i="1"/>
  <c r="S34" i="1"/>
  <c r="T34" i="1"/>
  <c r="AC34" i="1"/>
  <c r="AB34" i="1" s="1"/>
  <c r="AD34" i="1"/>
  <c r="AE34" i="1"/>
  <c r="AF34" i="1"/>
  <c r="CT34" i="1" s="1"/>
  <c r="AG34" i="1"/>
  <c r="AH34" i="1"/>
  <c r="CV34" i="1" s="1"/>
  <c r="U34" i="1" s="1"/>
  <c r="AH49" i="1" s="1"/>
  <c r="AI34" i="1"/>
  <c r="CW34" i="1" s="1"/>
  <c r="V34" i="1" s="1"/>
  <c r="AJ34" i="1"/>
  <c r="CQ34" i="1"/>
  <c r="P34" i="1" s="1"/>
  <c r="CU34" i="1"/>
  <c r="CX34" i="1"/>
  <c r="W34" i="1" s="1"/>
  <c r="CY34" i="1"/>
  <c r="X34" i="1" s="1"/>
  <c r="CZ34" i="1"/>
  <c r="Y34" i="1" s="1"/>
  <c r="GL34" i="1"/>
  <c r="GN34" i="1"/>
  <c r="GO34" i="1"/>
  <c r="GV34" i="1"/>
  <c r="HC34" i="1" s="1"/>
  <c r="GX34" i="1" s="1"/>
  <c r="I35" i="1"/>
  <c r="U35" i="1"/>
  <c r="V35" i="1"/>
  <c r="AC35" i="1"/>
  <c r="AD35" i="1"/>
  <c r="AE35" i="1"/>
  <c r="AF35" i="1"/>
  <c r="CT35" i="1" s="1"/>
  <c r="S35" i="1" s="1"/>
  <c r="AG35" i="1"/>
  <c r="CU35" i="1" s="1"/>
  <c r="T35" i="1" s="1"/>
  <c r="AH35" i="1"/>
  <c r="CV35" i="1" s="1"/>
  <c r="AI35" i="1"/>
  <c r="CW35" i="1" s="1"/>
  <c r="AJ35" i="1"/>
  <c r="CX35" i="1" s="1"/>
  <c r="W35" i="1" s="1"/>
  <c r="AJ49" i="1" s="1"/>
  <c r="CP35" i="1"/>
  <c r="O35" i="1" s="1"/>
  <c r="GM35" i="1" s="1"/>
  <c r="GP35" i="1" s="1"/>
  <c r="CQ35" i="1"/>
  <c r="P35" i="1" s="1"/>
  <c r="CR35" i="1"/>
  <c r="Q35" i="1" s="1"/>
  <c r="CS35" i="1"/>
  <c r="R35" i="1" s="1"/>
  <c r="GK35" i="1" s="1"/>
  <c r="CY35" i="1"/>
  <c r="X35" i="1" s="1"/>
  <c r="CZ35" i="1"/>
  <c r="Y35" i="1" s="1"/>
  <c r="GL35" i="1"/>
  <c r="GN35" i="1"/>
  <c r="GO35" i="1"/>
  <c r="GV35" i="1"/>
  <c r="HC35" i="1" s="1"/>
  <c r="GX35" i="1" s="1"/>
  <c r="C36" i="1"/>
  <c r="D36" i="1"/>
  <c r="AC36" i="1"/>
  <c r="AE36" i="1"/>
  <c r="AF36" i="1"/>
  <c r="CT36" i="1" s="1"/>
  <c r="S36" i="1" s="1"/>
  <c r="AG36" i="1"/>
  <c r="CU36" i="1" s="1"/>
  <c r="T36" i="1" s="1"/>
  <c r="AH36" i="1"/>
  <c r="CV36" i="1" s="1"/>
  <c r="U36" i="1" s="1"/>
  <c r="AI36" i="1"/>
  <c r="CW36" i="1" s="1"/>
  <c r="V36" i="1" s="1"/>
  <c r="AI49" i="1" s="1"/>
  <c r="AJ36" i="1"/>
  <c r="CX36" i="1" s="1"/>
  <c r="W36" i="1" s="1"/>
  <c r="CQ36" i="1"/>
  <c r="P36" i="1" s="1"/>
  <c r="CP36" i="1" s="1"/>
  <c r="O36" i="1" s="1"/>
  <c r="CR36" i="1"/>
  <c r="Q36" i="1" s="1"/>
  <c r="GL36" i="1"/>
  <c r="GN36" i="1"/>
  <c r="GO36" i="1"/>
  <c r="GV36" i="1"/>
  <c r="HC36" i="1"/>
  <c r="GX36" i="1" s="1"/>
  <c r="C37" i="1"/>
  <c r="D37" i="1"/>
  <c r="I37" i="1"/>
  <c r="K37" i="1"/>
  <c r="P37" i="1"/>
  <c r="CP37" i="1" s="1"/>
  <c r="O37" i="1" s="1"/>
  <c r="Q37" i="1"/>
  <c r="R37" i="1"/>
  <c r="GK37" i="1" s="1"/>
  <c r="S37" i="1"/>
  <c r="CY37" i="1" s="1"/>
  <c r="W37" i="1"/>
  <c r="X37" i="1"/>
  <c r="AC37" i="1"/>
  <c r="AD37" i="1"/>
  <c r="AE37" i="1"/>
  <c r="AF37" i="1"/>
  <c r="AG37" i="1"/>
  <c r="AH37" i="1"/>
  <c r="AI37" i="1"/>
  <c r="CW37" i="1" s="1"/>
  <c r="V37" i="1" s="1"/>
  <c r="AJ37" i="1"/>
  <c r="CX37" i="1" s="1"/>
  <c r="CQ37" i="1"/>
  <c r="CR37" i="1"/>
  <c r="CS37" i="1"/>
  <c r="CT37" i="1"/>
  <c r="CU37" i="1"/>
  <c r="T37" i="1" s="1"/>
  <c r="CV37" i="1"/>
  <c r="U37" i="1" s="1"/>
  <c r="GL37" i="1"/>
  <c r="GN37" i="1"/>
  <c r="GO37" i="1"/>
  <c r="GV37" i="1"/>
  <c r="HC37" i="1" s="1"/>
  <c r="GX37" i="1"/>
  <c r="C38" i="1"/>
  <c r="D38" i="1"/>
  <c r="AC38" i="1"/>
  <c r="CQ38" i="1" s="1"/>
  <c r="P38" i="1" s="1"/>
  <c r="AD38" i="1"/>
  <c r="AE38" i="1"/>
  <c r="AF38" i="1"/>
  <c r="CT38" i="1" s="1"/>
  <c r="S38" i="1" s="1"/>
  <c r="AG38" i="1"/>
  <c r="CU38" i="1" s="1"/>
  <c r="T38" i="1" s="1"/>
  <c r="AH38" i="1"/>
  <c r="CV38" i="1" s="1"/>
  <c r="U38" i="1" s="1"/>
  <c r="AI38" i="1"/>
  <c r="AJ38" i="1"/>
  <c r="CW38" i="1"/>
  <c r="V38" i="1" s="1"/>
  <c r="CX38" i="1"/>
  <c r="W38" i="1" s="1"/>
  <c r="GL38" i="1"/>
  <c r="GN38" i="1"/>
  <c r="GO38" i="1"/>
  <c r="GV38" i="1"/>
  <c r="HC38" i="1" s="1"/>
  <c r="GX38" i="1"/>
  <c r="C39" i="1"/>
  <c r="D39" i="1"/>
  <c r="P39" i="1"/>
  <c r="Q39" i="1"/>
  <c r="R39" i="1"/>
  <c r="GK39" i="1" s="1"/>
  <c r="T39" i="1"/>
  <c r="U39" i="1"/>
  <c r="AC39" i="1"/>
  <c r="AB39" i="1" s="1"/>
  <c r="AE39" i="1"/>
  <c r="AD39" i="1" s="1"/>
  <c r="AF39" i="1"/>
  <c r="AG39" i="1"/>
  <c r="CU39" i="1" s="1"/>
  <c r="AH39" i="1"/>
  <c r="CV39" i="1" s="1"/>
  <c r="AI39" i="1"/>
  <c r="AJ39" i="1"/>
  <c r="CX39" i="1" s="1"/>
  <c r="W39" i="1" s="1"/>
  <c r="CQ39" i="1"/>
  <c r="CR39" i="1"/>
  <c r="CS39" i="1"/>
  <c r="CT39" i="1"/>
  <c r="S39" i="1" s="1"/>
  <c r="CW39" i="1"/>
  <c r="V39" i="1" s="1"/>
  <c r="CY39" i="1"/>
  <c r="X39" i="1" s="1"/>
  <c r="CZ39" i="1"/>
  <c r="Y39" i="1" s="1"/>
  <c r="GL39" i="1"/>
  <c r="GN39" i="1"/>
  <c r="GO39" i="1"/>
  <c r="GV39" i="1"/>
  <c r="HC39" i="1"/>
  <c r="GX39" i="1" s="1"/>
  <c r="C40" i="1"/>
  <c r="D40" i="1"/>
  <c r="P40" i="1"/>
  <c r="AC40" i="1"/>
  <c r="AE40" i="1"/>
  <c r="AF40" i="1"/>
  <c r="AG40" i="1"/>
  <c r="AH40" i="1"/>
  <c r="AI40" i="1"/>
  <c r="AJ40" i="1"/>
  <c r="CQ40" i="1"/>
  <c r="CT40" i="1"/>
  <c r="S40" i="1" s="1"/>
  <c r="CZ40" i="1" s="1"/>
  <c r="Y40" i="1" s="1"/>
  <c r="CU40" i="1"/>
  <c r="T40" i="1" s="1"/>
  <c r="CV40" i="1"/>
  <c r="U40" i="1" s="1"/>
  <c r="CW40" i="1"/>
  <c r="V40" i="1" s="1"/>
  <c r="CX40" i="1"/>
  <c r="W40" i="1" s="1"/>
  <c r="CY40" i="1"/>
  <c r="X40" i="1" s="1"/>
  <c r="GL40" i="1"/>
  <c r="GN40" i="1"/>
  <c r="GO40" i="1"/>
  <c r="GV40" i="1"/>
  <c r="HC40" i="1" s="1"/>
  <c r="GX40" i="1"/>
  <c r="C41" i="1"/>
  <c r="D41" i="1"/>
  <c r="S41" i="1"/>
  <c r="AC41" i="1"/>
  <c r="AE41" i="1"/>
  <c r="AD41" i="1" s="1"/>
  <c r="AF41" i="1"/>
  <c r="AG41" i="1"/>
  <c r="CU41" i="1" s="1"/>
  <c r="T41" i="1" s="1"/>
  <c r="AH41" i="1"/>
  <c r="CV41" i="1" s="1"/>
  <c r="U41" i="1" s="1"/>
  <c r="AI41" i="1"/>
  <c r="CW41" i="1" s="1"/>
  <c r="V41" i="1" s="1"/>
  <c r="AJ41" i="1"/>
  <c r="CX41" i="1" s="1"/>
  <c r="W41" i="1" s="1"/>
  <c r="CR41" i="1"/>
  <c r="Q41" i="1" s="1"/>
  <c r="CS41" i="1"/>
  <c r="R41" i="1" s="1"/>
  <c r="GK41" i="1" s="1"/>
  <c r="CT41" i="1"/>
  <c r="GL41" i="1"/>
  <c r="GN41" i="1"/>
  <c r="GO41" i="1"/>
  <c r="GV41" i="1"/>
  <c r="HC41" i="1"/>
  <c r="GX41" i="1" s="1"/>
  <c r="C42" i="1"/>
  <c r="D42" i="1"/>
  <c r="S42" i="1"/>
  <c r="CY42" i="1" s="1"/>
  <c r="X42" i="1" s="1"/>
  <c r="T42" i="1"/>
  <c r="U42" i="1"/>
  <c r="V42" i="1"/>
  <c r="W42" i="1"/>
  <c r="AC42" i="1"/>
  <c r="AE42" i="1"/>
  <c r="AD42" i="1" s="1"/>
  <c r="AB42" i="1" s="1"/>
  <c r="AF42" i="1"/>
  <c r="AG42" i="1"/>
  <c r="AH42" i="1"/>
  <c r="AI42" i="1"/>
  <c r="AJ42" i="1"/>
  <c r="CQ42" i="1"/>
  <c r="P42" i="1" s="1"/>
  <c r="CT42" i="1"/>
  <c r="CU42" i="1"/>
  <c r="CV42" i="1"/>
  <c r="CW42" i="1"/>
  <c r="CX42" i="1"/>
  <c r="CZ42" i="1"/>
  <c r="Y42" i="1" s="1"/>
  <c r="GL42" i="1"/>
  <c r="GN42" i="1"/>
  <c r="GO42" i="1"/>
  <c r="GV42" i="1"/>
  <c r="HC42" i="1"/>
  <c r="GX42" i="1" s="1"/>
  <c r="C43" i="1"/>
  <c r="D43" i="1"/>
  <c r="U43" i="1"/>
  <c r="V43" i="1"/>
  <c r="W43" i="1"/>
  <c r="AC43" i="1"/>
  <c r="CQ43" i="1" s="1"/>
  <c r="P43" i="1" s="1"/>
  <c r="AE43" i="1"/>
  <c r="AD43" i="1" s="1"/>
  <c r="AB43" i="1" s="1"/>
  <c r="AF43" i="1"/>
  <c r="AG43" i="1"/>
  <c r="AH43" i="1"/>
  <c r="AI43" i="1"/>
  <c r="AJ43" i="1"/>
  <c r="CR43" i="1"/>
  <c r="Q43" i="1" s="1"/>
  <c r="CS43" i="1"/>
  <c r="R43" i="1" s="1"/>
  <c r="CT43" i="1"/>
  <c r="S43" i="1" s="1"/>
  <c r="CU43" i="1"/>
  <c r="T43" i="1" s="1"/>
  <c r="CV43" i="1"/>
  <c r="CW43" i="1"/>
  <c r="CX43" i="1"/>
  <c r="GK43" i="1"/>
  <c r="GL43" i="1"/>
  <c r="GN43" i="1"/>
  <c r="GO43" i="1"/>
  <c r="GV43" i="1"/>
  <c r="HC43" i="1" s="1"/>
  <c r="GX43" i="1"/>
  <c r="C44" i="1"/>
  <c r="D44" i="1"/>
  <c r="AC44" i="1"/>
  <c r="CQ44" i="1" s="1"/>
  <c r="P44" i="1" s="1"/>
  <c r="AE44" i="1"/>
  <c r="AF44" i="1"/>
  <c r="AG44" i="1"/>
  <c r="AH44" i="1"/>
  <c r="AI44" i="1"/>
  <c r="AJ44" i="1"/>
  <c r="CT44" i="1"/>
  <c r="S44" i="1" s="1"/>
  <c r="CU44" i="1"/>
  <c r="T44" i="1" s="1"/>
  <c r="CV44" i="1"/>
  <c r="U44" i="1" s="1"/>
  <c r="CW44" i="1"/>
  <c r="V44" i="1" s="1"/>
  <c r="CX44" i="1"/>
  <c r="W44" i="1" s="1"/>
  <c r="CY44" i="1"/>
  <c r="X44" i="1" s="1"/>
  <c r="CZ44" i="1"/>
  <c r="Y44" i="1" s="1"/>
  <c r="GL44" i="1"/>
  <c r="GN44" i="1"/>
  <c r="GO44" i="1"/>
  <c r="GV44" i="1"/>
  <c r="HC44" i="1"/>
  <c r="GX44" i="1" s="1"/>
  <c r="C45" i="1"/>
  <c r="D45" i="1"/>
  <c r="AC45" i="1"/>
  <c r="CQ45" i="1" s="1"/>
  <c r="P45" i="1" s="1"/>
  <c r="AE45" i="1"/>
  <c r="AF45" i="1"/>
  <c r="CT45" i="1" s="1"/>
  <c r="S45" i="1" s="1"/>
  <c r="CZ45" i="1" s="1"/>
  <c r="Y45" i="1" s="1"/>
  <c r="AG45" i="1"/>
  <c r="AH45" i="1"/>
  <c r="AI45" i="1"/>
  <c r="AJ45" i="1"/>
  <c r="CU45" i="1"/>
  <c r="T45" i="1" s="1"/>
  <c r="CV45" i="1"/>
  <c r="U45" i="1" s="1"/>
  <c r="CW45" i="1"/>
  <c r="V45" i="1" s="1"/>
  <c r="CX45" i="1"/>
  <c r="W45" i="1" s="1"/>
  <c r="CY45" i="1"/>
  <c r="X45" i="1" s="1"/>
  <c r="GL45" i="1"/>
  <c r="GN45" i="1"/>
  <c r="GO45" i="1"/>
  <c r="GV45" i="1"/>
  <c r="HC45" i="1" s="1"/>
  <c r="GX45" i="1" s="1"/>
  <c r="C46" i="1"/>
  <c r="D46" i="1"/>
  <c r="T46" i="1"/>
  <c r="U46" i="1"/>
  <c r="W46" i="1"/>
  <c r="AC46" i="1"/>
  <c r="CQ46" i="1" s="1"/>
  <c r="P46" i="1" s="1"/>
  <c r="AE46" i="1"/>
  <c r="AF46" i="1"/>
  <c r="CT46" i="1" s="1"/>
  <c r="S46" i="1" s="1"/>
  <c r="AG46" i="1"/>
  <c r="CU46" i="1" s="1"/>
  <c r="AH46" i="1"/>
  <c r="AI46" i="1"/>
  <c r="CW46" i="1" s="1"/>
  <c r="V46" i="1" s="1"/>
  <c r="AJ46" i="1"/>
  <c r="CX46" i="1" s="1"/>
  <c r="CV46" i="1"/>
  <c r="GL46" i="1"/>
  <c r="GN46" i="1"/>
  <c r="GO46" i="1"/>
  <c r="GV46" i="1"/>
  <c r="HC46" i="1"/>
  <c r="GX46" i="1" s="1"/>
  <c r="C47" i="1"/>
  <c r="D47" i="1"/>
  <c r="U47" i="1"/>
  <c r="AC47" i="1"/>
  <c r="CQ47" i="1" s="1"/>
  <c r="P47" i="1" s="1"/>
  <c r="AE47" i="1"/>
  <c r="AD47" i="1" s="1"/>
  <c r="AF47" i="1"/>
  <c r="CT47" i="1" s="1"/>
  <c r="S47" i="1" s="1"/>
  <c r="AG47" i="1"/>
  <c r="CU47" i="1" s="1"/>
  <c r="T47" i="1" s="1"/>
  <c r="AH47" i="1"/>
  <c r="CV47" i="1" s="1"/>
  <c r="AI47" i="1"/>
  <c r="CW47" i="1" s="1"/>
  <c r="V47" i="1" s="1"/>
  <c r="AJ47" i="1"/>
  <c r="CX47" i="1"/>
  <c r="W47" i="1" s="1"/>
  <c r="GL47" i="1"/>
  <c r="GN47" i="1"/>
  <c r="GO47" i="1"/>
  <c r="GV47" i="1"/>
  <c r="HC47" i="1"/>
  <c r="GX47" i="1" s="1"/>
  <c r="B49" i="1"/>
  <c r="B30" i="1" s="1"/>
  <c r="C49" i="1"/>
  <c r="C30" i="1" s="1"/>
  <c r="D49" i="1"/>
  <c r="D30" i="1" s="1"/>
  <c r="F49" i="1"/>
  <c r="F30" i="1" s="1"/>
  <c r="G49" i="1"/>
  <c r="G30" i="1" s="1"/>
  <c r="AO49" i="1"/>
  <c r="AP49" i="1"/>
  <c r="BB49" i="1"/>
  <c r="BB30" i="1" s="1"/>
  <c r="BX49" i="1"/>
  <c r="BY49" i="1"/>
  <c r="CK49" i="1"/>
  <c r="CK30" i="1" s="1"/>
  <c r="CL49" i="1"/>
  <c r="CM49" i="1"/>
  <c r="F58" i="1"/>
  <c r="D79" i="1"/>
  <c r="E81" i="1"/>
  <c r="Z81" i="1"/>
  <c r="AA81" i="1"/>
  <c r="AM81" i="1"/>
  <c r="AN81" i="1"/>
  <c r="BD81" i="1"/>
  <c r="BE81" i="1"/>
  <c r="BF81" i="1"/>
  <c r="BG81" i="1"/>
  <c r="BH81" i="1"/>
  <c r="BI81" i="1"/>
  <c r="BJ81" i="1"/>
  <c r="BK81" i="1"/>
  <c r="BL81" i="1"/>
  <c r="BM81" i="1"/>
  <c r="BN81" i="1"/>
  <c r="BO81" i="1"/>
  <c r="BP81" i="1"/>
  <c r="BQ81" i="1"/>
  <c r="BR81" i="1"/>
  <c r="BS81" i="1"/>
  <c r="BT81" i="1"/>
  <c r="BU81" i="1"/>
  <c r="BV81" i="1"/>
  <c r="BW81" i="1"/>
  <c r="BX81" i="1"/>
  <c r="CK81" i="1"/>
  <c r="CM81" i="1"/>
  <c r="CN81" i="1"/>
  <c r="CO81" i="1"/>
  <c r="CP81" i="1"/>
  <c r="CQ81" i="1"/>
  <c r="CR81" i="1"/>
  <c r="CS81" i="1"/>
  <c r="CT81" i="1"/>
  <c r="CU81" i="1"/>
  <c r="CV81" i="1"/>
  <c r="CW81" i="1"/>
  <c r="CX81" i="1"/>
  <c r="CY81" i="1"/>
  <c r="CZ81" i="1"/>
  <c r="DA81" i="1"/>
  <c r="DB81" i="1"/>
  <c r="DC81" i="1"/>
  <c r="DD81" i="1"/>
  <c r="DE81" i="1"/>
  <c r="DF81" i="1"/>
  <c r="DG81" i="1"/>
  <c r="DH81" i="1"/>
  <c r="DI81" i="1"/>
  <c r="DJ81" i="1"/>
  <c r="DK81" i="1"/>
  <c r="DL81" i="1"/>
  <c r="DM81" i="1"/>
  <c r="DN81" i="1"/>
  <c r="DO81" i="1"/>
  <c r="DP81" i="1"/>
  <c r="DQ81" i="1"/>
  <c r="DR81" i="1"/>
  <c r="DS81" i="1"/>
  <c r="DT81" i="1"/>
  <c r="DU81" i="1"/>
  <c r="DV81" i="1"/>
  <c r="DW81" i="1"/>
  <c r="DX81" i="1"/>
  <c r="DY81" i="1"/>
  <c r="DZ81" i="1"/>
  <c r="EA81" i="1"/>
  <c r="EB81" i="1"/>
  <c r="EC81" i="1"/>
  <c r="ED81" i="1"/>
  <c r="EE81" i="1"/>
  <c r="EF81" i="1"/>
  <c r="EG81" i="1"/>
  <c r="EH81" i="1"/>
  <c r="EI81" i="1"/>
  <c r="EJ81" i="1"/>
  <c r="EK81" i="1"/>
  <c r="EL81" i="1"/>
  <c r="EM81" i="1"/>
  <c r="EN81" i="1"/>
  <c r="EO81" i="1"/>
  <c r="EP81" i="1"/>
  <c r="EQ81" i="1"/>
  <c r="ER81" i="1"/>
  <c r="ES81" i="1"/>
  <c r="ET81" i="1"/>
  <c r="EU81" i="1"/>
  <c r="EV81" i="1"/>
  <c r="EW81" i="1"/>
  <c r="EX81" i="1"/>
  <c r="EY81" i="1"/>
  <c r="EZ81" i="1"/>
  <c r="FA81" i="1"/>
  <c r="FB81" i="1"/>
  <c r="FC81" i="1"/>
  <c r="FD81" i="1"/>
  <c r="FE81" i="1"/>
  <c r="FF81" i="1"/>
  <c r="FG81" i="1"/>
  <c r="FH81" i="1"/>
  <c r="FI81" i="1"/>
  <c r="FJ81" i="1"/>
  <c r="FK81" i="1"/>
  <c r="FL81" i="1"/>
  <c r="FM81" i="1"/>
  <c r="FN81" i="1"/>
  <c r="FO81" i="1"/>
  <c r="FP81" i="1"/>
  <c r="FQ81" i="1"/>
  <c r="FR81" i="1"/>
  <c r="FS81" i="1"/>
  <c r="FT81" i="1"/>
  <c r="FU81" i="1"/>
  <c r="FV81" i="1"/>
  <c r="FW81" i="1"/>
  <c r="FX81" i="1"/>
  <c r="FY81" i="1"/>
  <c r="FZ81" i="1"/>
  <c r="GA81" i="1"/>
  <c r="GB81" i="1"/>
  <c r="GC81" i="1"/>
  <c r="GD81" i="1"/>
  <c r="GE81" i="1"/>
  <c r="GF81" i="1"/>
  <c r="GG81" i="1"/>
  <c r="GH81" i="1"/>
  <c r="GI81" i="1"/>
  <c r="GJ81" i="1"/>
  <c r="GK81" i="1"/>
  <c r="GL81" i="1"/>
  <c r="GM81" i="1"/>
  <c r="GN81" i="1"/>
  <c r="GO81" i="1"/>
  <c r="GP81" i="1"/>
  <c r="GQ81" i="1"/>
  <c r="GR81" i="1"/>
  <c r="GS81" i="1"/>
  <c r="GT81" i="1"/>
  <c r="GU81" i="1"/>
  <c r="GV81" i="1"/>
  <c r="GW81" i="1"/>
  <c r="GX81" i="1"/>
  <c r="C83" i="1"/>
  <c r="D83" i="1"/>
  <c r="Q83" i="1"/>
  <c r="R83" i="1"/>
  <c r="AC83" i="1"/>
  <c r="AB83" i="1" s="1"/>
  <c r="AE83" i="1"/>
  <c r="AD83" i="1" s="1"/>
  <c r="AF83" i="1"/>
  <c r="CT83" i="1" s="1"/>
  <c r="S83" i="1" s="1"/>
  <c r="AG83" i="1"/>
  <c r="AH83" i="1"/>
  <c r="AI83" i="1"/>
  <c r="AJ83" i="1"/>
  <c r="CX83" i="1" s="1"/>
  <c r="W83" i="1" s="1"/>
  <c r="CQ83" i="1"/>
  <c r="P83" i="1" s="1"/>
  <c r="CR83" i="1"/>
  <c r="CS83" i="1"/>
  <c r="CU83" i="1"/>
  <c r="T83" i="1" s="1"/>
  <c r="CV83" i="1"/>
  <c r="U83" i="1" s="1"/>
  <c r="CW83" i="1"/>
  <c r="V83" i="1" s="1"/>
  <c r="GK83" i="1"/>
  <c r="GL83" i="1"/>
  <c r="GN83" i="1"/>
  <c r="GO83" i="1"/>
  <c r="GV83" i="1"/>
  <c r="HC83" i="1" s="1"/>
  <c r="GX83" i="1" s="1"/>
  <c r="I84" i="1"/>
  <c r="P84" i="1"/>
  <c r="AC84" i="1"/>
  <c r="AE84" i="1"/>
  <c r="AF84" i="1"/>
  <c r="AG84" i="1"/>
  <c r="AH84" i="1"/>
  <c r="CV84" i="1" s="1"/>
  <c r="U84" i="1" s="1"/>
  <c r="AI84" i="1"/>
  <c r="CW84" i="1" s="1"/>
  <c r="V84" i="1" s="1"/>
  <c r="AJ84" i="1"/>
  <c r="CX84" i="1" s="1"/>
  <c r="W84" i="1" s="1"/>
  <c r="CQ84" i="1"/>
  <c r="CT84" i="1"/>
  <c r="S84" i="1" s="1"/>
  <c r="CU84" i="1"/>
  <c r="T84" i="1" s="1"/>
  <c r="GL84" i="1"/>
  <c r="GN84" i="1"/>
  <c r="GO84" i="1"/>
  <c r="GV84" i="1"/>
  <c r="HC84" i="1" s="1"/>
  <c r="GX84" i="1" s="1"/>
  <c r="C85" i="1"/>
  <c r="D85" i="1"/>
  <c r="AC85" i="1"/>
  <c r="AE85" i="1"/>
  <c r="AF85" i="1"/>
  <c r="CT85" i="1" s="1"/>
  <c r="S85" i="1" s="1"/>
  <c r="AG85" i="1"/>
  <c r="CU85" i="1" s="1"/>
  <c r="T85" i="1" s="1"/>
  <c r="AH85" i="1"/>
  <c r="CV85" i="1" s="1"/>
  <c r="U85" i="1" s="1"/>
  <c r="AI85" i="1"/>
  <c r="CW85" i="1" s="1"/>
  <c r="V85" i="1" s="1"/>
  <c r="AJ85" i="1"/>
  <c r="CX85" i="1" s="1"/>
  <c r="W85" i="1" s="1"/>
  <c r="CQ85" i="1"/>
  <c r="P85" i="1" s="1"/>
  <c r="GL85" i="1"/>
  <c r="GN85" i="1"/>
  <c r="GO85" i="1"/>
  <c r="GV85" i="1"/>
  <c r="HC85" i="1"/>
  <c r="GX85" i="1" s="1"/>
  <c r="C86" i="1"/>
  <c r="D86" i="1"/>
  <c r="I86" i="1"/>
  <c r="CU25" i="3" s="1"/>
  <c r="K86" i="1"/>
  <c r="P86" i="1"/>
  <c r="T86" i="1"/>
  <c r="AC86" i="1"/>
  <c r="AE86" i="1"/>
  <c r="AF86" i="1"/>
  <c r="CT86" i="1" s="1"/>
  <c r="S86" i="1" s="1"/>
  <c r="AG86" i="1"/>
  <c r="AH86" i="1"/>
  <c r="AI86" i="1"/>
  <c r="AJ86" i="1"/>
  <c r="CQ86" i="1"/>
  <c r="CS86" i="1"/>
  <c r="CU86" i="1"/>
  <c r="CV86" i="1"/>
  <c r="CW86" i="1"/>
  <c r="CX86" i="1"/>
  <c r="GL86" i="1"/>
  <c r="GN86" i="1"/>
  <c r="GO86" i="1"/>
  <c r="GV86" i="1"/>
  <c r="HC86" i="1" s="1"/>
  <c r="GX86" i="1" s="1"/>
  <c r="C87" i="1"/>
  <c r="D87" i="1"/>
  <c r="P87" i="1"/>
  <c r="Q87" i="1"/>
  <c r="AB87" i="1"/>
  <c r="AC87" i="1"/>
  <c r="AE87" i="1"/>
  <c r="AD87" i="1" s="1"/>
  <c r="AF87" i="1"/>
  <c r="AG87" i="1"/>
  <c r="CU87" i="1" s="1"/>
  <c r="T87" i="1" s="1"/>
  <c r="AH87" i="1"/>
  <c r="CV87" i="1" s="1"/>
  <c r="U87" i="1" s="1"/>
  <c r="AI87" i="1"/>
  <c r="CW87" i="1" s="1"/>
  <c r="V87" i="1" s="1"/>
  <c r="AJ87" i="1"/>
  <c r="CX87" i="1" s="1"/>
  <c r="W87" i="1" s="1"/>
  <c r="CQ87" i="1"/>
  <c r="CR87" i="1"/>
  <c r="CS87" i="1"/>
  <c r="R87" i="1" s="1"/>
  <c r="GK87" i="1" s="1"/>
  <c r="CT87" i="1"/>
  <c r="S87" i="1" s="1"/>
  <c r="GL87" i="1"/>
  <c r="GN87" i="1"/>
  <c r="GO87" i="1"/>
  <c r="GV87" i="1"/>
  <c r="HC87" i="1"/>
  <c r="GX87" i="1" s="1"/>
  <c r="C88" i="1"/>
  <c r="D88" i="1"/>
  <c r="T88" i="1"/>
  <c r="U88" i="1"/>
  <c r="V88" i="1"/>
  <c r="W88" i="1"/>
  <c r="AC88" i="1"/>
  <c r="AD88" i="1"/>
  <c r="AE88" i="1"/>
  <c r="AF88" i="1"/>
  <c r="AG88" i="1"/>
  <c r="AH88" i="1"/>
  <c r="AI88" i="1"/>
  <c r="AJ88" i="1"/>
  <c r="CQ88" i="1"/>
  <c r="P88" i="1" s="1"/>
  <c r="CP88" i="1" s="1"/>
  <c r="O88" i="1" s="1"/>
  <c r="CR88" i="1"/>
  <c r="Q88" i="1" s="1"/>
  <c r="CS88" i="1"/>
  <c r="R88" i="1" s="1"/>
  <c r="GK88" i="1" s="1"/>
  <c r="CT88" i="1"/>
  <c r="S88" i="1" s="1"/>
  <c r="CU88" i="1"/>
  <c r="CV88" i="1"/>
  <c r="CW88" i="1"/>
  <c r="CX88" i="1"/>
  <c r="GL88" i="1"/>
  <c r="GN88" i="1"/>
  <c r="GO88" i="1"/>
  <c r="GV88" i="1"/>
  <c r="HC88" i="1"/>
  <c r="GX88" i="1" s="1"/>
  <c r="I89" i="1"/>
  <c r="S89" i="1"/>
  <c r="T89" i="1"/>
  <c r="U89" i="1"/>
  <c r="V89" i="1"/>
  <c r="W89" i="1"/>
  <c r="AC89" i="1"/>
  <c r="CQ89" i="1" s="1"/>
  <c r="P89" i="1" s="1"/>
  <c r="AE89" i="1"/>
  <c r="AF89" i="1"/>
  <c r="CT89" i="1" s="1"/>
  <c r="AG89" i="1"/>
  <c r="AH89" i="1"/>
  <c r="AI89" i="1"/>
  <c r="AJ89" i="1"/>
  <c r="CU89" i="1"/>
  <c r="CV89" i="1"/>
  <c r="CW89" i="1"/>
  <c r="CX89" i="1"/>
  <c r="GL89" i="1"/>
  <c r="GN89" i="1"/>
  <c r="GO89" i="1"/>
  <c r="GV89" i="1"/>
  <c r="HC89" i="1" s="1"/>
  <c r="GX89" i="1"/>
  <c r="C90" i="1"/>
  <c r="D90" i="1"/>
  <c r="P90" i="1"/>
  <c r="V90" i="1"/>
  <c r="AC90" i="1"/>
  <c r="CQ90" i="1" s="1"/>
  <c r="AE90" i="1"/>
  <c r="AF90" i="1"/>
  <c r="AG90" i="1"/>
  <c r="AH90" i="1"/>
  <c r="AI90" i="1"/>
  <c r="CW90" i="1" s="1"/>
  <c r="AJ90" i="1"/>
  <c r="CX90" i="1" s="1"/>
  <c r="W90" i="1" s="1"/>
  <c r="CT90" i="1"/>
  <c r="S90" i="1" s="1"/>
  <c r="CU90" i="1"/>
  <c r="T90" i="1" s="1"/>
  <c r="CV90" i="1"/>
  <c r="U90" i="1" s="1"/>
  <c r="GL90" i="1"/>
  <c r="GN90" i="1"/>
  <c r="GO90" i="1"/>
  <c r="GV90" i="1"/>
  <c r="HC90" i="1" s="1"/>
  <c r="GX90" i="1"/>
  <c r="I91" i="1"/>
  <c r="S91" i="1"/>
  <c r="T91" i="1"/>
  <c r="V91" i="1"/>
  <c r="AC91" i="1"/>
  <c r="AD91" i="1"/>
  <c r="AE91" i="1"/>
  <c r="CS91" i="1" s="1"/>
  <c r="R91" i="1" s="1"/>
  <c r="AF91" i="1"/>
  <c r="CT91" i="1" s="1"/>
  <c r="AG91" i="1"/>
  <c r="CU91" i="1" s="1"/>
  <c r="AH91" i="1"/>
  <c r="AI91" i="1"/>
  <c r="AJ91" i="1"/>
  <c r="CX91" i="1" s="1"/>
  <c r="W91" i="1" s="1"/>
  <c r="CP91" i="1"/>
  <c r="O91" i="1" s="1"/>
  <c r="GM91" i="1" s="1"/>
  <c r="GP91" i="1" s="1"/>
  <c r="CQ91" i="1"/>
  <c r="P91" i="1" s="1"/>
  <c r="CR91" i="1"/>
  <c r="Q91" i="1" s="1"/>
  <c r="CV91" i="1"/>
  <c r="U91" i="1" s="1"/>
  <c r="CW91" i="1"/>
  <c r="CY91" i="1"/>
  <c r="X91" i="1" s="1"/>
  <c r="CZ91" i="1"/>
  <c r="Y91" i="1" s="1"/>
  <c r="GK91" i="1"/>
  <c r="GL91" i="1"/>
  <c r="GN91" i="1"/>
  <c r="GO91" i="1"/>
  <c r="GV91" i="1"/>
  <c r="HC91" i="1"/>
  <c r="GX91" i="1" s="1"/>
  <c r="C92" i="1"/>
  <c r="D92" i="1"/>
  <c r="W92" i="1"/>
  <c r="X92" i="1"/>
  <c r="Y92" i="1"/>
  <c r="AC92" i="1"/>
  <c r="AE92" i="1"/>
  <c r="AF92" i="1"/>
  <c r="AG92" i="1"/>
  <c r="CU92" i="1" s="1"/>
  <c r="T92" i="1" s="1"/>
  <c r="AH92" i="1"/>
  <c r="CV92" i="1" s="1"/>
  <c r="U92" i="1" s="1"/>
  <c r="AI92" i="1"/>
  <c r="CW92" i="1" s="1"/>
  <c r="V92" i="1" s="1"/>
  <c r="AJ92" i="1"/>
  <c r="CQ92" i="1"/>
  <c r="P92" i="1" s="1"/>
  <c r="CT92" i="1"/>
  <c r="S92" i="1" s="1"/>
  <c r="CZ92" i="1" s="1"/>
  <c r="CX92" i="1"/>
  <c r="CY92" i="1"/>
  <c r="GL92" i="1"/>
  <c r="GN92" i="1"/>
  <c r="GO92" i="1"/>
  <c r="GV92" i="1"/>
  <c r="HC92" i="1"/>
  <c r="GX92" i="1" s="1"/>
  <c r="C93" i="1"/>
  <c r="D93" i="1"/>
  <c r="AC93" i="1"/>
  <c r="CQ93" i="1" s="1"/>
  <c r="P93" i="1" s="1"/>
  <c r="AE93" i="1"/>
  <c r="AF93" i="1"/>
  <c r="AG93" i="1"/>
  <c r="AH93" i="1"/>
  <c r="AI93" i="1"/>
  <c r="CW93" i="1" s="1"/>
  <c r="V93" i="1" s="1"/>
  <c r="AJ93" i="1"/>
  <c r="CX93" i="1" s="1"/>
  <c r="W93" i="1" s="1"/>
  <c r="CT93" i="1"/>
  <c r="S93" i="1" s="1"/>
  <c r="CU93" i="1"/>
  <c r="T93" i="1" s="1"/>
  <c r="CV93" i="1"/>
  <c r="U93" i="1" s="1"/>
  <c r="GL93" i="1"/>
  <c r="GN93" i="1"/>
  <c r="GO93" i="1"/>
  <c r="GV93" i="1"/>
  <c r="HC93" i="1"/>
  <c r="GX93" i="1" s="1"/>
  <c r="C94" i="1"/>
  <c r="D94" i="1"/>
  <c r="Q94" i="1"/>
  <c r="R94" i="1"/>
  <c r="GK94" i="1" s="1"/>
  <c r="AC94" i="1"/>
  <c r="AE94" i="1"/>
  <c r="AD94" i="1" s="1"/>
  <c r="AF94" i="1"/>
  <c r="AG94" i="1"/>
  <c r="AH94" i="1"/>
  <c r="CV94" i="1" s="1"/>
  <c r="U94" i="1" s="1"/>
  <c r="AI94" i="1"/>
  <c r="CW94" i="1" s="1"/>
  <c r="V94" i="1" s="1"/>
  <c r="AJ94" i="1"/>
  <c r="CR94" i="1"/>
  <c r="CS94" i="1"/>
  <c r="CT94" i="1"/>
  <c r="S94" i="1" s="1"/>
  <c r="CU94" i="1"/>
  <c r="T94" i="1" s="1"/>
  <c r="CX94" i="1"/>
  <c r="W94" i="1" s="1"/>
  <c r="GL94" i="1"/>
  <c r="GN94" i="1"/>
  <c r="GO94" i="1"/>
  <c r="GV94" i="1"/>
  <c r="HC94" i="1" s="1"/>
  <c r="GX94" i="1" s="1"/>
  <c r="C95" i="1"/>
  <c r="D95" i="1"/>
  <c r="Q95" i="1"/>
  <c r="R95" i="1"/>
  <c r="GK95" i="1" s="1"/>
  <c r="AC95" i="1"/>
  <c r="AD95" i="1"/>
  <c r="AE95" i="1"/>
  <c r="CR95" i="1" s="1"/>
  <c r="AF95" i="1"/>
  <c r="AG95" i="1"/>
  <c r="AH95" i="1"/>
  <c r="CV95" i="1" s="1"/>
  <c r="U95" i="1" s="1"/>
  <c r="AI95" i="1"/>
  <c r="CW95" i="1" s="1"/>
  <c r="V95" i="1" s="1"/>
  <c r="AJ95" i="1"/>
  <c r="CX95" i="1" s="1"/>
  <c r="W95" i="1" s="1"/>
  <c r="CS95" i="1"/>
  <c r="CT95" i="1"/>
  <c r="S95" i="1" s="1"/>
  <c r="CU95" i="1"/>
  <c r="T95" i="1" s="1"/>
  <c r="CY95" i="1"/>
  <c r="X95" i="1" s="1"/>
  <c r="CZ95" i="1"/>
  <c r="Y95" i="1" s="1"/>
  <c r="GL95" i="1"/>
  <c r="GN95" i="1"/>
  <c r="GO95" i="1"/>
  <c r="GV95" i="1"/>
  <c r="HC95" i="1" s="1"/>
  <c r="GX95" i="1"/>
  <c r="C96" i="1"/>
  <c r="D96" i="1"/>
  <c r="T96" i="1"/>
  <c r="Y96" i="1"/>
  <c r="AC96" i="1"/>
  <c r="AB96" i="1" s="1"/>
  <c r="AE96" i="1"/>
  <c r="AD96" i="1" s="1"/>
  <c r="AF96" i="1"/>
  <c r="CT96" i="1" s="1"/>
  <c r="S96" i="1" s="1"/>
  <c r="CZ96" i="1" s="1"/>
  <c r="AG96" i="1"/>
  <c r="CU96" i="1" s="1"/>
  <c r="AH96" i="1"/>
  <c r="AI96" i="1"/>
  <c r="CW96" i="1" s="1"/>
  <c r="V96" i="1" s="1"/>
  <c r="AJ96" i="1"/>
  <c r="CX96" i="1" s="1"/>
  <c r="W96" i="1" s="1"/>
  <c r="CQ96" i="1"/>
  <c r="P96" i="1" s="1"/>
  <c r="CP96" i="1" s="1"/>
  <c r="O96" i="1" s="1"/>
  <c r="GM96" i="1" s="1"/>
  <c r="GP96" i="1" s="1"/>
  <c r="CR96" i="1"/>
  <c r="Q96" i="1" s="1"/>
  <c r="CS96" i="1"/>
  <c r="R96" i="1" s="1"/>
  <c r="GK96" i="1" s="1"/>
  <c r="CV96" i="1"/>
  <c r="U96" i="1" s="1"/>
  <c r="CY96" i="1"/>
  <c r="X96" i="1" s="1"/>
  <c r="GL96" i="1"/>
  <c r="GN96" i="1"/>
  <c r="GO96" i="1"/>
  <c r="GV96" i="1"/>
  <c r="HC96" i="1"/>
  <c r="GX96" i="1" s="1"/>
  <c r="I97" i="1"/>
  <c r="T97" i="1"/>
  <c r="U97" i="1"/>
  <c r="AC97" i="1"/>
  <c r="AD97" i="1"/>
  <c r="AE97" i="1"/>
  <c r="AF97" i="1"/>
  <c r="AG97" i="1"/>
  <c r="AH97" i="1"/>
  <c r="AI97" i="1"/>
  <c r="CW97" i="1" s="1"/>
  <c r="V97" i="1" s="1"/>
  <c r="AJ97" i="1"/>
  <c r="CR97" i="1"/>
  <c r="Q97" i="1" s="1"/>
  <c r="CS97" i="1"/>
  <c r="CT97" i="1"/>
  <c r="CU97" i="1"/>
  <c r="CV97" i="1"/>
  <c r="CX97" i="1"/>
  <c r="GL97" i="1"/>
  <c r="GN97" i="1"/>
  <c r="GO97" i="1"/>
  <c r="GV97" i="1"/>
  <c r="HC97" i="1"/>
  <c r="GX97" i="1" s="1"/>
  <c r="B99" i="1"/>
  <c r="B81" i="1" s="1"/>
  <c r="C99" i="1"/>
  <c r="C81" i="1" s="1"/>
  <c r="D99" i="1"/>
  <c r="D81" i="1" s="1"/>
  <c r="F99" i="1"/>
  <c r="F81" i="1" s="1"/>
  <c r="G99" i="1"/>
  <c r="G81" i="1" s="1"/>
  <c r="AO99" i="1"/>
  <c r="AO81" i="1" s="1"/>
  <c r="BX99" i="1"/>
  <c r="BY99" i="1"/>
  <c r="CK99" i="1"/>
  <c r="BB99" i="1" s="1"/>
  <c r="BB81" i="1" s="1"/>
  <c r="CL99" i="1"/>
  <c r="CM99" i="1"/>
  <c r="BD99" i="1" s="1"/>
  <c r="F103" i="1"/>
  <c r="F112" i="1"/>
  <c r="F124" i="1"/>
  <c r="D129" i="1"/>
  <c r="B131" i="1"/>
  <c r="E131" i="1"/>
  <c r="Z131" i="1"/>
  <c r="AA131" i="1"/>
  <c r="AM131" i="1"/>
  <c r="AN131" i="1"/>
  <c r="BE131" i="1"/>
  <c r="BF131" i="1"/>
  <c r="BG131" i="1"/>
  <c r="BH131" i="1"/>
  <c r="BI131" i="1"/>
  <c r="BJ131" i="1"/>
  <c r="BK131" i="1"/>
  <c r="BL131" i="1"/>
  <c r="BM131" i="1"/>
  <c r="BN131" i="1"/>
  <c r="BO131" i="1"/>
  <c r="BP131" i="1"/>
  <c r="BQ131" i="1"/>
  <c r="BR131" i="1"/>
  <c r="BS131" i="1"/>
  <c r="BT131" i="1"/>
  <c r="BU131" i="1"/>
  <c r="BV131" i="1"/>
  <c r="BW131" i="1"/>
  <c r="BX131" i="1"/>
  <c r="CK131" i="1"/>
  <c r="CL131" i="1"/>
  <c r="CN131" i="1"/>
  <c r="CO131" i="1"/>
  <c r="CP131" i="1"/>
  <c r="CQ131" i="1"/>
  <c r="CR131" i="1"/>
  <c r="CS131" i="1"/>
  <c r="CT131" i="1"/>
  <c r="CU131" i="1"/>
  <c r="CV131" i="1"/>
  <c r="CW131" i="1"/>
  <c r="CX131" i="1"/>
  <c r="CY131" i="1"/>
  <c r="CZ131" i="1"/>
  <c r="DA131" i="1"/>
  <c r="DB131" i="1"/>
  <c r="DC131" i="1"/>
  <c r="DD131" i="1"/>
  <c r="DE131" i="1"/>
  <c r="DF131" i="1"/>
  <c r="DG131" i="1"/>
  <c r="DH131" i="1"/>
  <c r="DI131" i="1"/>
  <c r="DJ131" i="1"/>
  <c r="DK131" i="1"/>
  <c r="DL131" i="1"/>
  <c r="DM131" i="1"/>
  <c r="DN131" i="1"/>
  <c r="DO131" i="1"/>
  <c r="DP131" i="1"/>
  <c r="DQ131" i="1"/>
  <c r="DR131" i="1"/>
  <c r="DS131" i="1"/>
  <c r="DT131" i="1"/>
  <c r="DU131" i="1"/>
  <c r="DV131" i="1"/>
  <c r="DW131" i="1"/>
  <c r="DX131" i="1"/>
  <c r="DY131" i="1"/>
  <c r="DZ131" i="1"/>
  <c r="EA131" i="1"/>
  <c r="EB131" i="1"/>
  <c r="EC131" i="1"/>
  <c r="ED131" i="1"/>
  <c r="EE131" i="1"/>
  <c r="EF131" i="1"/>
  <c r="EG131" i="1"/>
  <c r="EH131" i="1"/>
  <c r="EI131" i="1"/>
  <c r="EJ131" i="1"/>
  <c r="EK131" i="1"/>
  <c r="EL131" i="1"/>
  <c r="EM131" i="1"/>
  <c r="EN131" i="1"/>
  <c r="EO131" i="1"/>
  <c r="EP131" i="1"/>
  <c r="EQ131" i="1"/>
  <c r="ER131" i="1"/>
  <c r="ES131" i="1"/>
  <c r="ET131" i="1"/>
  <c r="EU131" i="1"/>
  <c r="EV131" i="1"/>
  <c r="EW131" i="1"/>
  <c r="EX131" i="1"/>
  <c r="EY131" i="1"/>
  <c r="EZ131" i="1"/>
  <c r="FA131" i="1"/>
  <c r="FB131" i="1"/>
  <c r="FC131" i="1"/>
  <c r="FD131" i="1"/>
  <c r="FE131" i="1"/>
  <c r="FF131" i="1"/>
  <c r="FG131" i="1"/>
  <c r="FH131" i="1"/>
  <c r="FI131" i="1"/>
  <c r="FJ131" i="1"/>
  <c r="FK131" i="1"/>
  <c r="FL131" i="1"/>
  <c r="FM131" i="1"/>
  <c r="FN131" i="1"/>
  <c r="FO131" i="1"/>
  <c r="FP131" i="1"/>
  <c r="FQ131" i="1"/>
  <c r="FR131" i="1"/>
  <c r="FS131" i="1"/>
  <c r="FT131" i="1"/>
  <c r="FU131" i="1"/>
  <c r="FV131" i="1"/>
  <c r="FW131" i="1"/>
  <c r="FX131" i="1"/>
  <c r="FY131" i="1"/>
  <c r="FZ131" i="1"/>
  <c r="GA131" i="1"/>
  <c r="GB131" i="1"/>
  <c r="GC131" i="1"/>
  <c r="GD131" i="1"/>
  <c r="GE131" i="1"/>
  <c r="GF131" i="1"/>
  <c r="GG131" i="1"/>
  <c r="GH131" i="1"/>
  <c r="GI131" i="1"/>
  <c r="GJ131" i="1"/>
  <c r="GK131" i="1"/>
  <c r="GL131" i="1"/>
  <c r="GM131" i="1"/>
  <c r="GN131" i="1"/>
  <c r="GO131" i="1"/>
  <c r="GP131" i="1"/>
  <c r="GQ131" i="1"/>
  <c r="GR131" i="1"/>
  <c r="GS131" i="1"/>
  <c r="GT131" i="1"/>
  <c r="GU131" i="1"/>
  <c r="GV131" i="1"/>
  <c r="GW131" i="1"/>
  <c r="GX131" i="1"/>
  <c r="C133" i="1"/>
  <c r="D133" i="1"/>
  <c r="I133" i="1"/>
  <c r="K133" i="1"/>
  <c r="S133" i="1"/>
  <c r="CY133" i="1" s="1"/>
  <c r="X133" i="1" s="1"/>
  <c r="AC133" i="1"/>
  <c r="CQ133" i="1" s="1"/>
  <c r="P133" i="1" s="1"/>
  <c r="AD133" i="1"/>
  <c r="AE133" i="1"/>
  <c r="CR133" i="1" s="1"/>
  <c r="AF133" i="1"/>
  <c r="AG133" i="1"/>
  <c r="CU133" i="1" s="1"/>
  <c r="T133" i="1" s="1"/>
  <c r="AH133" i="1"/>
  <c r="CV133" i="1" s="1"/>
  <c r="U133" i="1" s="1"/>
  <c r="AI133" i="1"/>
  <c r="CW133" i="1" s="1"/>
  <c r="V133" i="1" s="1"/>
  <c r="AJ133" i="1"/>
  <c r="CX133" i="1" s="1"/>
  <c r="W133" i="1" s="1"/>
  <c r="CS133" i="1"/>
  <c r="R133" i="1" s="1"/>
  <c r="CT133" i="1"/>
  <c r="GL133" i="1"/>
  <c r="GN133" i="1"/>
  <c r="GO133" i="1"/>
  <c r="GV133" i="1"/>
  <c r="HC133" i="1" s="1"/>
  <c r="C134" i="1"/>
  <c r="D134" i="1"/>
  <c r="I134" i="1"/>
  <c r="CU49" i="3" s="1"/>
  <c r="K134" i="1"/>
  <c r="P134" i="1"/>
  <c r="Q134" i="1"/>
  <c r="R134" i="1"/>
  <c r="GK134" i="1" s="1"/>
  <c r="S134" i="1"/>
  <c r="CZ134" i="1" s="1"/>
  <c r="Y134" i="1" s="1"/>
  <c r="T134" i="1"/>
  <c r="V134" i="1"/>
  <c r="W134" i="1"/>
  <c r="AC134" i="1"/>
  <c r="CQ134" i="1" s="1"/>
  <c r="AE134" i="1"/>
  <c r="CR134" i="1" s="1"/>
  <c r="AF134" i="1"/>
  <c r="AG134" i="1"/>
  <c r="AH134" i="1"/>
  <c r="AI134" i="1"/>
  <c r="AJ134" i="1"/>
  <c r="CS134" i="1"/>
  <c r="CT134" i="1"/>
  <c r="CU134" i="1"/>
  <c r="CV134" i="1"/>
  <c r="U134" i="1" s="1"/>
  <c r="CW134" i="1"/>
  <c r="CX134" i="1"/>
  <c r="GL134" i="1"/>
  <c r="GN134" i="1"/>
  <c r="GO134" i="1"/>
  <c r="GV134" i="1"/>
  <c r="HC134" i="1"/>
  <c r="GX134" i="1" s="1"/>
  <c r="C135" i="1"/>
  <c r="D135" i="1"/>
  <c r="AC135" i="1"/>
  <c r="AE135" i="1"/>
  <c r="CS135" i="1" s="1"/>
  <c r="R135" i="1" s="1"/>
  <c r="AF135" i="1"/>
  <c r="CT135" i="1" s="1"/>
  <c r="S135" i="1" s="1"/>
  <c r="AG135" i="1"/>
  <c r="CU135" i="1" s="1"/>
  <c r="T135" i="1" s="1"/>
  <c r="AH135" i="1"/>
  <c r="CV135" i="1" s="1"/>
  <c r="U135" i="1" s="1"/>
  <c r="AI135" i="1"/>
  <c r="AJ135" i="1"/>
  <c r="CQ135" i="1"/>
  <c r="P135" i="1" s="1"/>
  <c r="CR135" i="1"/>
  <c r="Q135" i="1" s="1"/>
  <c r="CW135" i="1"/>
  <c r="V135" i="1" s="1"/>
  <c r="CX135" i="1"/>
  <c r="W135" i="1" s="1"/>
  <c r="GK135" i="1"/>
  <c r="GL135" i="1"/>
  <c r="GN135" i="1"/>
  <c r="GO135" i="1"/>
  <c r="GV135" i="1"/>
  <c r="HC135" i="1"/>
  <c r="GX135" i="1" s="1"/>
  <c r="C136" i="1"/>
  <c r="D136" i="1"/>
  <c r="Q136" i="1"/>
  <c r="AC136" i="1"/>
  <c r="AE136" i="1"/>
  <c r="AD136" i="1" s="1"/>
  <c r="AF136" i="1"/>
  <c r="CT136" i="1" s="1"/>
  <c r="S136" i="1" s="1"/>
  <c r="AG136" i="1"/>
  <c r="CU136" i="1" s="1"/>
  <c r="T136" i="1" s="1"/>
  <c r="AH136" i="1"/>
  <c r="CV136" i="1" s="1"/>
  <c r="U136" i="1" s="1"/>
  <c r="AI136" i="1"/>
  <c r="AJ136" i="1"/>
  <c r="CX136" i="1" s="1"/>
  <c r="W136" i="1" s="1"/>
  <c r="CR136" i="1"/>
  <c r="CS136" i="1"/>
  <c r="R136" i="1" s="1"/>
  <c r="GK136" i="1" s="1"/>
  <c r="CW136" i="1"/>
  <c r="V136" i="1" s="1"/>
  <c r="GL136" i="1"/>
  <c r="GN136" i="1"/>
  <c r="GO136" i="1"/>
  <c r="GV136" i="1"/>
  <c r="HC136" i="1" s="1"/>
  <c r="GX136" i="1" s="1"/>
  <c r="C137" i="1"/>
  <c r="D137" i="1"/>
  <c r="P137" i="1"/>
  <c r="Q137" i="1"/>
  <c r="R137" i="1"/>
  <c r="GK137" i="1" s="1"/>
  <c r="V137" i="1"/>
  <c r="W137" i="1"/>
  <c r="X137" i="1"/>
  <c r="AC137" i="1"/>
  <c r="CQ137" i="1" s="1"/>
  <c r="AE137" i="1"/>
  <c r="AD137" i="1" s="1"/>
  <c r="AF137" i="1"/>
  <c r="CT137" i="1" s="1"/>
  <c r="S137" i="1" s="1"/>
  <c r="AG137" i="1"/>
  <c r="AH137" i="1"/>
  <c r="AI137" i="1"/>
  <c r="CW137" i="1" s="1"/>
  <c r="AJ137" i="1"/>
  <c r="CX137" i="1" s="1"/>
  <c r="CR137" i="1"/>
  <c r="CS137" i="1"/>
  <c r="CU137" i="1"/>
  <c r="T137" i="1" s="1"/>
  <c r="CV137" i="1"/>
  <c r="U137" i="1" s="1"/>
  <c r="CY137" i="1"/>
  <c r="CZ137" i="1"/>
  <c r="Y137" i="1" s="1"/>
  <c r="GL137" i="1"/>
  <c r="GN137" i="1"/>
  <c r="GO137" i="1"/>
  <c r="CC154" i="1" s="1"/>
  <c r="GV137" i="1"/>
  <c r="HC137" i="1"/>
  <c r="GX137" i="1" s="1"/>
  <c r="C138" i="1"/>
  <c r="D138" i="1"/>
  <c r="AC138" i="1"/>
  <c r="AE138" i="1"/>
  <c r="AD138" i="1" s="1"/>
  <c r="AB138" i="1" s="1"/>
  <c r="AF138" i="1"/>
  <c r="AG138" i="1"/>
  <c r="AH138" i="1"/>
  <c r="CV138" i="1" s="1"/>
  <c r="U138" i="1" s="1"/>
  <c r="AI138" i="1"/>
  <c r="CW138" i="1" s="1"/>
  <c r="V138" i="1" s="1"/>
  <c r="AJ138" i="1"/>
  <c r="CQ138" i="1"/>
  <c r="P138" i="1" s="1"/>
  <c r="CR138" i="1"/>
  <c r="Q138" i="1" s="1"/>
  <c r="CS138" i="1"/>
  <c r="R138" i="1" s="1"/>
  <c r="GK138" i="1" s="1"/>
  <c r="CT138" i="1"/>
  <c r="S138" i="1" s="1"/>
  <c r="CU138" i="1"/>
  <c r="T138" i="1" s="1"/>
  <c r="CX138" i="1"/>
  <c r="W138" i="1" s="1"/>
  <c r="GL138" i="1"/>
  <c r="GN138" i="1"/>
  <c r="GO138" i="1"/>
  <c r="GV138" i="1"/>
  <c r="HC138" i="1" s="1"/>
  <c r="GX138" i="1"/>
  <c r="I139" i="1"/>
  <c r="U139" i="1" s="1"/>
  <c r="S139" i="1"/>
  <c r="CY139" i="1" s="1"/>
  <c r="T139" i="1"/>
  <c r="V139" i="1"/>
  <c r="W139" i="1"/>
  <c r="X139" i="1"/>
  <c r="AC139" i="1"/>
  <c r="AE139" i="1"/>
  <c r="AF139" i="1"/>
  <c r="AG139" i="1"/>
  <c r="AH139" i="1"/>
  <c r="CV139" i="1" s="1"/>
  <c r="AI139" i="1"/>
  <c r="CW139" i="1" s="1"/>
  <c r="AJ139" i="1"/>
  <c r="CX139" i="1" s="1"/>
  <c r="CT139" i="1"/>
  <c r="CU139" i="1"/>
  <c r="GL139" i="1"/>
  <c r="GN139" i="1"/>
  <c r="GO139" i="1"/>
  <c r="GV139" i="1"/>
  <c r="HC139" i="1" s="1"/>
  <c r="GX139" i="1" s="1"/>
  <c r="C140" i="1"/>
  <c r="D140" i="1"/>
  <c r="I140" i="1"/>
  <c r="K140" i="1"/>
  <c r="AC140" i="1"/>
  <c r="AD140" i="1"/>
  <c r="AE140" i="1"/>
  <c r="AF140" i="1"/>
  <c r="AG140" i="1"/>
  <c r="AH140" i="1"/>
  <c r="AI140" i="1"/>
  <c r="AJ140" i="1"/>
  <c r="CT140" i="1"/>
  <c r="S140" i="1" s="1"/>
  <c r="CU140" i="1"/>
  <c r="T140" i="1" s="1"/>
  <c r="CV140" i="1"/>
  <c r="U140" i="1" s="1"/>
  <c r="CW140" i="1"/>
  <c r="V140" i="1" s="1"/>
  <c r="CX140" i="1"/>
  <c r="W140" i="1" s="1"/>
  <c r="GL140" i="1"/>
  <c r="GN140" i="1"/>
  <c r="GO140" i="1"/>
  <c r="GV140" i="1"/>
  <c r="GX140" i="1"/>
  <c r="HC140" i="1"/>
  <c r="I141" i="1"/>
  <c r="R141" i="1"/>
  <c r="GK141" i="1" s="1"/>
  <c r="AC141" i="1"/>
  <c r="AE141" i="1"/>
  <c r="AD141" i="1" s="1"/>
  <c r="AF141" i="1"/>
  <c r="CT141" i="1" s="1"/>
  <c r="S141" i="1" s="1"/>
  <c r="AG141" i="1"/>
  <c r="AH141" i="1"/>
  <c r="AI141" i="1"/>
  <c r="CW141" i="1" s="1"/>
  <c r="V141" i="1" s="1"/>
  <c r="AJ141" i="1"/>
  <c r="CR141" i="1"/>
  <c r="Q141" i="1" s="1"/>
  <c r="CS141" i="1"/>
  <c r="CU141" i="1"/>
  <c r="T141" i="1" s="1"/>
  <c r="CV141" i="1"/>
  <c r="U141" i="1" s="1"/>
  <c r="CX141" i="1"/>
  <c r="W141" i="1" s="1"/>
  <c r="GL141" i="1"/>
  <c r="GN141" i="1"/>
  <c r="GO141" i="1"/>
  <c r="GV141" i="1"/>
  <c r="HC141" i="1"/>
  <c r="GX141" i="1" s="1"/>
  <c r="C142" i="1"/>
  <c r="D142" i="1"/>
  <c r="P142" i="1"/>
  <c r="X142" i="1"/>
  <c r="AC142" i="1"/>
  <c r="AE142" i="1"/>
  <c r="AF142" i="1"/>
  <c r="AG142" i="1"/>
  <c r="CU142" i="1" s="1"/>
  <c r="T142" i="1" s="1"/>
  <c r="AH142" i="1"/>
  <c r="AI142" i="1"/>
  <c r="CW142" i="1" s="1"/>
  <c r="V142" i="1" s="1"/>
  <c r="AJ142" i="1"/>
  <c r="CQ142" i="1"/>
  <c r="CT142" i="1"/>
  <c r="S142" i="1" s="1"/>
  <c r="CZ142" i="1" s="1"/>
  <c r="Y142" i="1" s="1"/>
  <c r="CV142" i="1"/>
  <c r="U142" i="1" s="1"/>
  <c r="CX142" i="1"/>
  <c r="W142" i="1" s="1"/>
  <c r="CY142" i="1"/>
  <c r="GL142" i="1"/>
  <c r="GN142" i="1"/>
  <c r="GO142" i="1"/>
  <c r="GV142" i="1"/>
  <c r="HC142" i="1"/>
  <c r="GX142" i="1" s="1"/>
  <c r="C143" i="1"/>
  <c r="D143" i="1"/>
  <c r="P143" i="1"/>
  <c r="T143" i="1"/>
  <c r="U143" i="1"/>
  <c r="AB143" i="1"/>
  <c r="AC143" i="1"/>
  <c r="AE143" i="1"/>
  <c r="AD143" i="1" s="1"/>
  <c r="AF143" i="1"/>
  <c r="AG143" i="1"/>
  <c r="AH143" i="1"/>
  <c r="AI143" i="1"/>
  <c r="CW143" i="1" s="1"/>
  <c r="V143" i="1" s="1"/>
  <c r="AJ143" i="1"/>
  <c r="CX143" i="1" s="1"/>
  <c r="W143" i="1" s="1"/>
  <c r="CQ143" i="1"/>
  <c r="CR143" i="1"/>
  <c r="Q143" i="1" s="1"/>
  <c r="CP143" i="1" s="1"/>
  <c r="O143" i="1" s="1"/>
  <c r="CS143" i="1"/>
  <c r="R143" i="1" s="1"/>
  <c r="GK143" i="1" s="1"/>
  <c r="CT143" i="1"/>
  <c r="S143" i="1" s="1"/>
  <c r="CU143" i="1"/>
  <c r="CV143" i="1"/>
  <c r="GL143" i="1"/>
  <c r="GN143" i="1"/>
  <c r="GO143" i="1"/>
  <c r="GV143" i="1"/>
  <c r="HC143" i="1" s="1"/>
  <c r="GX143" i="1" s="1"/>
  <c r="I144" i="1"/>
  <c r="P144" i="1"/>
  <c r="S144" i="1"/>
  <c r="CY144" i="1" s="1"/>
  <c r="X144" i="1" s="1"/>
  <c r="T144" i="1"/>
  <c r="U144" i="1"/>
  <c r="V144" i="1"/>
  <c r="W144" i="1"/>
  <c r="AC144" i="1"/>
  <c r="CQ144" i="1" s="1"/>
  <c r="AE144" i="1"/>
  <c r="AF144" i="1"/>
  <c r="CT144" i="1" s="1"/>
  <c r="AG144" i="1"/>
  <c r="AH144" i="1"/>
  <c r="AI144" i="1"/>
  <c r="CW144" i="1" s="1"/>
  <c r="AJ144" i="1"/>
  <c r="CU144" i="1"/>
  <c r="CV144" i="1"/>
  <c r="CX144" i="1"/>
  <c r="GL144" i="1"/>
  <c r="GN144" i="1"/>
  <c r="GO144" i="1"/>
  <c r="GV144" i="1"/>
  <c r="HC144" i="1" s="1"/>
  <c r="GX144" i="1" s="1"/>
  <c r="C145" i="1"/>
  <c r="D145" i="1"/>
  <c r="AC145" i="1"/>
  <c r="AE145" i="1"/>
  <c r="AF145" i="1"/>
  <c r="CT145" i="1" s="1"/>
  <c r="S145" i="1" s="1"/>
  <c r="CZ145" i="1" s="1"/>
  <c r="Y145" i="1" s="1"/>
  <c r="AG145" i="1"/>
  <c r="AH145" i="1"/>
  <c r="CV145" i="1" s="1"/>
  <c r="U145" i="1" s="1"/>
  <c r="AI145" i="1"/>
  <c r="CW145" i="1" s="1"/>
  <c r="V145" i="1" s="1"/>
  <c r="AJ145" i="1"/>
  <c r="CQ145" i="1"/>
  <c r="P145" i="1" s="1"/>
  <c r="CU145" i="1"/>
  <c r="T145" i="1" s="1"/>
  <c r="CX145" i="1"/>
  <c r="W145" i="1" s="1"/>
  <c r="GL145" i="1"/>
  <c r="GN145" i="1"/>
  <c r="GO145" i="1"/>
  <c r="GV145" i="1"/>
  <c r="HC145" i="1" s="1"/>
  <c r="GX145" i="1" s="1"/>
  <c r="I146" i="1"/>
  <c r="AC146" i="1"/>
  <c r="CQ146" i="1" s="1"/>
  <c r="P146" i="1" s="1"/>
  <c r="AE146" i="1"/>
  <c r="AF146" i="1"/>
  <c r="CT146" i="1" s="1"/>
  <c r="S146" i="1" s="1"/>
  <c r="AG146" i="1"/>
  <c r="CU146" i="1" s="1"/>
  <c r="T146" i="1" s="1"/>
  <c r="AH146" i="1"/>
  <c r="CV146" i="1" s="1"/>
  <c r="U146" i="1" s="1"/>
  <c r="AI146" i="1"/>
  <c r="AJ146" i="1"/>
  <c r="CW146" i="1"/>
  <c r="CX146" i="1"/>
  <c r="W146" i="1" s="1"/>
  <c r="GL146" i="1"/>
  <c r="GN146" i="1"/>
  <c r="GO146" i="1"/>
  <c r="GV146" i="1"/>
  <c r="HC146" i="1"/>
  <c r="GX146" i="1" s="1"/>
  <c r="C147" i="1"/>
  <c r="D147" i="1"/>
  <c r="P147" i="1"/>
  <c r="S147" i="1"/>
  <c r="CY147" i="1" s="1"/>
  <c r="X147" i="1" s="1"/>
  <c r="W147" i="1"/>
  <c r="AB147" i="1"/>
  <c r="AC147" i="1"/>
  <c r="AE147" i="1"/>
  <c r="AD147" i="1" s="1"/>
  <c r="AF147" i="1"/>
  <c r="AG147" i="1"/>
  <c r="AH147" i="1"/>
  <c r="AI147" i="1"/>
  <c r="CW147" i="1" s="1"/>
  <c r="V147" i="1" s="1"/>
  <c r="AJ147" i="1"/>
  <c r="CX147" i="1" s="1"/>
  <c r="CQ147" i="1"/>
  <c r="CR147" i="1"/>
  <c r="Q147" i="1" s="1"/>
  <c r="CS147" i="1"/>
  <c r="R147" i="1" s="1"/>
  <c r="CT147" i="1"/>
  <c r="CU147" i="1"/>
  <c r="T147" i="1" s="1"/>
  <c r="CV147" i="1"/>
  <c r="U147" i="1" s="1"/>
  <c r="GK147" i="1"/>
  <c r="GL147" i="1"/>
  <c r="GN147" i="1"/>
  <c r="GO147" i="1"/>
  <c r="GV147" i="1"/>
  <c r="HC147" i="1"/>
  <c r="GX147" i="1" s="1"/>
  <c r="C148" i="1"/>
  <c r="D148" i="1"/>
  <c r="I148" i="1"/>
  <c r="K148" i="1"/>
  <c r="Q148" i="1"/>
  <c r="R148" i="1"/>
  <c r="GK148" i="1" s="1"/>
  <c r="S148" i="1"/>
  <c r="CZ148" i="1" s="1"/>
  <c r="Y148" i="1" s="1"/>
  <c r="V148" i="1"/>
  <c r="AC148" i="1"/>
  <c r="CQ148" i="1" s="1"/>
  <c r="P148" i="1" s="1"/>
  <c r="CP148" i="1" s="1"/>
  <c r="O148" i="1" s="1"/>
  <c r="AD148" i="1"/>
  <c r="AE148" i="1"/>
  <c r="AF148" i="1"/>
  <c r="AG148" i="1"/>
  <c r="CU148" i="1" s="1"/>
  <c r="T148" i="1" s="1"/>
  <c r="AH148" i="1"/>
  <c r="CV148" i="1" s="1"/>
  <c r="U148" i="1" s="1"/>
  <c r="AI148" i="1"/>
  <c r="CW148" i="1" s="1"/>
  <c r="AJ148" i="1"/>
  <c r="CR148" i="1"/>
  <c r="CS148" i="1"/>
  <c r="CT148" i="1"/>
  <c r="CX148" i="1"/>
  <c r="W148" i="1" s="1"/>
  <c r="GL148" i="1"/>
  <c r="GN148" i="1"/>
  <c r="GO148" i="1"/>
  <c r="GV148" i="1"/>
  <c r="HC148" i="1"/>
  <c r="C149" i="1"/>
  <c r="D149" i="1"/>
  <c r="I149" i="1"/>
  <c r="K149" i="1"/>
  <c r="AC149" i="1"/>
  <c r="AE149" i="1"/>
  <c r="AD149" i="1" s="1"/>
  <c r="AF149" i="1"/>
  <c r="AG149" i="1"/>
  <c r="AH149" i="1"/>
  <c r="AI149" i="1"/>
  <c r="CW149" i="1" s="1"/>
  <c r="V149" i="1" s="1"/>
  <c r="AJ149" i="1"/>
  <c r="CQ149" i="1"/>
  <c r="P149" i="1" s="1"/>
  <c r="CR149" i="1"/>
  <c r="Q149" i="1" s="1"/>
  <c r="CS149" i="1"/>
  <c r="R149" i="1" s="1"/>
  <c r="GK149" i="1" s="1"/>
  <c r="CT149" i="1"/>
  <c r="S149" i="1" s="1"/>
  <c r="CU149" i="1"/>
  <c r="T149" i="1" s="1"/>
  <c r="CV149" i="1"/>
  <c r="U149" i="1" s="1"/>
  <c r="CX149" i="1"/>
  <c r="GL149" i="1"/>
  <c r="GN149" i="1"/>
  <c r="GO149" i="1"/>
  <c r="GV149" i="1"/>
  <c r="HC149" i="1" s="1"/>
  <c r="AC150" i="1"/>
  <c r="CQ150" i="1" s="1"/>
  <c r="AE150" i="1"/>
  <c r="AF150" i="1"/>
  <c r="CT150" i="1" s="1"/>
  <c r="AG150" i="1"/>
  <c r="CU150" i="1" s="1"/>
  <c r="AH150" i="1"/>
  <c r="CV150" i="1" s="1"/>
  <c r="AI150" i="1"/>
  <c r="AJ150" i="1"/>
  <c r="CW150" i="1"/>
  <c r="CX150" i="1"/>
  <c r="GL150" i="1"/>
  <c r="GN150" i="1"/>
  <c r="GO150" i="1"/>
  <c r="GV150" i="1"/>
  <c r="HC150" i="1"/>
  <c r="C151" i="1"/>
  <c r="D151" i="1"/>
  <c r="P151" i="1"/>
  <c r="CP151" i="1" s="1"/>
  <c r="O151" i="1" s="1"/>
  <c r="GM151" i="1" s="1"/>
  <c r="GP151" i="1" s="1"/>
  <c r="R151" i="1"/>
  <c r="GK151" i="1" s="1"/>
  <c r="AB151" i="1"/>
  <c r="AC151" i="1"/>
  <c r="AD151" i="1"/>
  <c r="AE151" i="1"/>
  <c r="AF151" i="1"/>
  <c r="AG151" i="1"/>
  <c r="CU151" i="1" s="1"/>
  <c r="T151" i="1" s="1"/>
  <c r="AH151" i="1"/>
  <c r="AI151" i="1"/>
  <c r="AJ151" i="1"/>
  <c r="CQ151" i="1"/>
  <c r="CR151" i="1"/>
  <c r="Q151" i="1" s="1"/>
  <c r="CS151" i="1"/>
  <c r="CT151" i="1"/>
  <c r="S151" i="1" s="1"/>
  <c r="CY151" i="1" s="1"/>
  <c r="X151" i="1" s="1"/>
  <c r="CV151" i="1"/>
  <c r="U151" i="1" s="1"/>
  <c r="CW151" i="1"/>
  <c r="V151" i="1" s="1"/>
  <c r="CX151" i="1"/>
  <c r="W151" i="1" s="1"/>
  <c r="CZ151" i="1"/>
  <c r="Y151" i="1" s="1"/>
  <c r="GL151" i="1"/>
  <c r="GN151" i="1"/>
  <c r="GO151" i="1"/>
  <c r="GV151" i="1"/>
  <c r="GX151" i="1"/>
  <c r="HC151" i="1"/>
  <c r="I152" i="1"/>
  <c r="W152" i="1"/>
  <c r="AC152" i="1"/>
  <c r="AE152" i="1"/>
  <c r="AF152" i="1"/>
  <c r="AG152" i="1"/>
  <c r="AH152" i="1"/>
  <c r="AI152" i="1"/>
  <c r="AJ152" i="1"/>
  <c r="CX152" i="1" s="1"/>
  <c r="CS152" i="1"/>
  <c r="R152" i="1" s="1"/>
  <c r="GK152" i="1" s="1"/>
  <c r="CT152" i="1"/>
  <c r="S152" i="1" s="1"/>
  <c r="CU152" i="1"/>
  <c r="T152" i="1" s="1"/>
  <c r="CV152" i="1"/>
  <c r="U152" i="1" s="1"/>
  <c r="CW152" i="1"/>
  <c r="V152" i="1" s="1"/>
  <c r="GL152" i="1"/>
  <c r="GN152" i="1"/>
  <c r="GO152" i="1"/>
  <c r="GV152" i="1"/>
  <c r="HC152" i="1"/>
  <c r="GX152" i="1" s="1"/>
  <c r="B154" i="1"/>
  <c r="C154" i="1"/>
  <c r="C131" i="1" s="1"/>
  <c r="D154" i="1"/>
  <c r="D131" i="1" s="1"/>
  <c r="F154" i="1"/>
  <c r="F131" i="1" s="1"/>
  <c r="G154" i="1"/>
  <c r="G131" i="1" s="1"/>
  <c r="AO154" i="1"/>
  <c r="BB154" i="1"/>
  <c r="BB131" i="1" s="1"/>
  <c r="BC154" i="1"/>
  <c r="BC131" i="1" s="1"/>
  <c r="BX154" i="1"/>
  <c r="BY154" i="1"/>
  <c r="BZ154" i="1"/>
  <c r="CK154" i="1"/>
  <c r="CL154" i="1"/>
  <c r="CM154" i="1"/>
  <c r="F167" i="1"/>
  <c r="F170" i="1"/>
  <c r="B184" i="1"/>
  <c r="B26" i="1" s="1"/>
  <c r="C184" i="1"/>
  <c r="C26" i="1" s="1"/>
  <c r="D184" i="1"/>
  <c r="F184" i="1"/>
  <c r="G184" i="1"/>
  <c r="BB184" i="1"/>
  <c r="B214" i="1"/>
  <c r="B22" i="1" s="1"/>
  <c r="C214" i="1"/>
  <c r="C22" i="1" s="1"/>
  <c r="D214" i="1"/>
  <c r="D22" i="1" s="1"/>
  <c r="F214" i="1"/>
  <c r="G214" i="1"/>
  <c r="B246" i="1"/>
  <c r="B18" i="1" s="1"/>
  <c r="C246" i="1"/>
  <c r="C18" i="1" s="1"/>
  <c r="D246" i="1"/>
  <c r="D18" i="1" s="1"/>
  <c r="F246" i="1"/>
  <c r="F18" i="1" s="1"/>
  <c r="G246" i="1"/>
  <c r="G18" i="1" s="1"/>
  <c r="F12" i="6"/>
  <c r="G12" i="6"/>
  <c r="A215" i="7" l="1"/>
  <c r="K111" i="7"/>
  <c r="P111" i="7"/>
  <c r="I117" i="7"/>
  <c r="I202" i="7"/>
  <c r="P310" i="7"/>
  <c r="K310" i="7"/>
  <c r="K333" i="7"/>
  <c r="P333" i="7"/>
  <c r="I228" i="7"/>
  <c r="I322" i="7"/>
  <c r="P168" i="7"/>
  <c r="K168" i="7"/>
  <c r="K175" i="7"/>
  <c r="P175" i="7"/>
  <c r="I68" i="7"/>
  <c r="P213" i="7"/>
  <c r="K213" i="7"/>
  <c r="P297" i="7"/>
  <c r="K297" i="7"/>
  <c r="P42" i="7"/>
  <c r="K42" i="7"/>
  <c r="K81" i="7"/>
  <c r="P81" i="7"/>
  <c r="K196" i="7"/>
  <c r="P196" i="7"/>
  <c r="P235" i="7"/>
  <c r="K235" i="7"/>
  <c r="P130" i="7"/>
  <c r="K130" i="7"/>
  <c r="P182" i="7"/>
  <c r="K182" i="7"/>
  <c r="K261" i="7"/>
  <c r="P261" i="7"/>
  <c r="K275" i="7"/>
  <c r="P275" i="7"/>
  <c r="K148" i="7"/>
  <c r="P148" i="7"/>
  <c r="P97" i="7"/>
  <c r="K97" i="7"/>
  <c r="I61" i="7"/>
  <c r="P252" i="7"/>
  <c r="K252" i="7"/>
  <c r="K124" i="7"/>
  <c r="P124" i="7"/>
  <c r="P303" i="7"/>
  <c r="K303" i="7"/>
  <c r="K48" i="7"/>
  <c r="P48" i="7"/>
  <c r="I269" i="7"/>
  <c r="I55" i="7"/>
  <c r="I91" i="7"/>
  <c r="K189" i="7"/>
  <c r="P189" i="7"/>
  <c r="K161" i="7"/>
  <c r="P161" i="7"/>
  <c r="I286" i="7"/>
  <c r="K106" i="7"/>
  <c r="P106" i="7"/>
  <c r="I74" i="7"/>
  <c r="K136" i="7"/>
  <c r="P136" i="7"/>
  <c r="I154" i="7"/>
  <c r="I245" i="7"/>
  <c r="CP145" i="1"/>
  <c r="O145" i="1" s="1"/>
  <c r="GM145" i="1" s="1"/>
  <c r="GP145" i="1" s="1"/>
  <c r="CC131" i="1"/>
  <c r="AT154" i="1"/>
  <c r="GM88" i="1"/>
  <c r="GP88" i="1" s="1"/>
  <c r="W49" i="1"/>
  <c r="AJ30" i="1"/>
  <c r="AH30" i="1"/>
  <c r="U49" i="1"/>
  <c r="V49" i="1"/>
  <c r="AI30" i="1"/>
  <c r="CR93" i="1"/>
  <c r="Q93" i="1" s="1"/>
  <c r="CP93" i="1" s="1"/>
  <c r="O93" i="1" s="1"/>
  <c r="GM93" i="1" s="1"/>
  <c r="GP93" i="1" s="1"/>
  <c r="CS93" i="1"/>
  <c r="R93" i="1" s="1"/>
  <c r="GK93" i="1" s="1"/>
  <c r="CP137" i="1"/>
  <c r="O137" i="1" s="1"/>
  <c r="GM137" i="1" s="1"/>
  <c r="GP137" i="1" s="1"/>
  <c r="CR92" i="1"/>
  <c r="Q92" i="1" s="1"/>
  <c r="CP92" i="1" s="1"/>
  <c r="O92" i="1" s="1"/>
  <c r="GM92" i="1" s="1"/>
  <c r="GP92" i="1" s="1"/>
  <c r="CS92" i="1"/>
  <c r="R92" i="1" s="1"/>
  <c r="GK92" i="1" s="1"/>
  <c r="BZ131" i="1"/>
  <c r="AQ154" i="1"/>
  <c r="AD92" i="1"/>
  <c r="CY88" i="1"/>
  <c r="X88" i="1" s="1"/>
  <c r="CZ88" i="1"/>
  <c r="Y88" i="1" s="1"/>
  <c r="CP83" i="1"/>
  <c r="O83" i="1" s="1"/>
  <c r="AO30" i="1"/>
  <c r="AO184" i="1"/>
  <c r="BY131" i="1"/>
  <c r="CI154" i="1"/>
  <c r="AP154" i="1"/>
  <c r="CR146" i="1"/>
  <c r="Q146" i="1" s="1"/>
  <c r="CP146" i="1" s="1"/>
  <c r="O146" i="1" s="1"/>
  <c r="GM146" i="1" s="1"/>
  <c r="GP146" i="1" s="1"/>
  <c r="CS146" i="1"/>
  <c r="R146" i="1" s="1"/>
  <c r="GK146" i="1" s="1"/>
  <c r="AB94" i="1"/>
  <c r="CQ94" i="1"/>
  <c r="P94" i="1" s="1"/>
  <c r="CP94" i="1" s="1"/>
  <c r="O94" i="1" s="1"/>
  <c r="GM94" i="1" s="1"/>
  <c r="GP94" i="1" s="1"/>
  <c r="AB93" i="1"/>
  <c r="AB92" i="1"/>
  <c r="CY84" i="1"/>
  <c r="X84" i="1" s="1"/>
  <c r="CZ84" i="1"/>
  <c r="Y84" i="1" s="1"/>
  <c r="AD146" i="1"/>
  <c r="AB146" i="1" s="1"/>
  <c r="AG49" i="1"/>
  <c r="DF3" i="3"/>
  <c r="DG3" i="3"/>
  <c r="DJ3" i="3" s="1"/>
  <c r="DH3" i="3"/>
  <c r="DI3" i="3"/>
  <c r="CY140" i="1"/>
  <c r="X140" i="1" s="1"/>
  <c r="CZ140" i="1"/>
  <c r="Y140" i="1" s="1"/>
  <c r="CY138" i="1"/>
  <c r="X138" i="1" s="1"/>
  <c r="CZ138" i="1"/>
  <c r="Y138" i="1" s="1"/>
  <c r="AB38" i="1"/>
  <c r="AB37" i="1"/>
  <c r="AF49" i="1"/>
  <c r="CY32" i="1"/>
  <c r="X32" i="1" s="1"/>
  <c r="CZ32" i="1"/>
  <c r="Y32" i="1" s="1"/>
  <c r="CP134" i="1"/>
  <c r="O134" i="1" s="1"/>
  <c r="GM134" i="1" s="1"/>
  <c r="GP134" i="1" s="1"/>
  <c r="DH54" i="3"/>
  <c r="DI54" i="3"/>
  <c r="DG54" i="3"/>
  <c r="DF54" i="3"/>
  <c r="DJ54" i="3" s="1"/>
  <c r="DH1" i="3"/>
  <c r="DI1" i="3"/>
  <c r="DG1" i="3"/>
  <c r="DJ1" i="3" s="1"/>
  <c r="DF1" i="3"/>
  <c r="CY149" i="1"/>
  <c r="X149" i="1" s="1"/>
  <c r="CZ149" i="1"/>
  <c r="Y149" i="1" s="1"/>
  <c r="CY134" i="1"/>
  <c r="X134" i="1" s="1"/>
  <c r="CY36" i="1"/>
  <c r="X36" i="1" s="1"/>
  <c r="CZ36" i="1"/>
  <c r="Y36" i="1" s="1"/>
  <c r="CP32" i="1"/>
  <c r="O32" i="1" s="1"/>
  <c r="DG59" i="3"/>
  <c r="DF59" i="3"/>
  <c r="DJ59" i="3" s="1"/>
  <c r="DH59" i="3"/>
  <c r="DI59" i="3"/>
  <c r="CY152" i="1"/>
  <c r="X152" i="1" s="1"/>
  <c r="CZ152" i="1"/>
  <c r="Y152" i="1" s="1"/>
  <c r="CP147" i="1"/>
  <c r="O147" i="1" s="1"/>
  <c r="GM147" i="1" s="1"/>
  <c r="GP147" i="1" s="1"/>
  <c r="CP138" i="1"/>
  <c r="O138" i="1" s="1"/>
  <c r="GM138" i="1" s="1"/>
  <c r="GP138" i="1" s="1"/>
  <c r="CP90" i="1"/>
  <c r="O90" i="1" s="1"/>
  <c r="GM90" i="1" s="1"/>
  <c r="GP90" i="1" s="1"/>
  <c r="AB32" i="1"/>
  <c r="CP39" i="1"/>
  <c r="O39" i="1" s="1"/>
  <c r="GM39" i="1" s="1"/>
  <c r="GP39" i="1" s="1"/>
  <c r="CW56" i="3"/>
  <c r="CX56" i="3"/>
  <c r="CP149" i="1"/>
  <c r="O149" i="1" s="1"/>
  <c r="BC99" i="1"/>
  <c r="CL81" i="1"/>
  <c r="DG22" i="3"/>
  <c r="DJ22" i="3" s="1"/>
  <c r="DH22" i="3"/>
  <c r="DI22" i="3"/>
  <c r="CR139" i="1"/>
  <c r="Q139" i="1" s="1"/>
  <c r="CS139" i="1"/>
  <c r="R139" i="1" s="1"/>
  <c r="GK139" i="1" s="1"/>
  <c r="CP135" i="1"/>
  <c r="O135" i="1" s="1"/>
  <c r="GM135" i="1" s="1"/>
  <c r="GP135" i="1" s="1"/>
  <c r="CR142" i="1"/>
  <c r="Q142" i="1" s="1"/>
  <c r="CP142" i="1" s="1"/>
  <c r="O142" i="1" s="1"/>
  <c r="GM142" i="1" s="1"/>
  <c r="GP142" i="1" s="1"/>
  <c r="CS142" i="1"/>
  <c r="R142" i="1" s="1"/>
  <c r="GK142" i="1" s="1"/>
  <c r="CY141" i="1"/>
  <c r="X141" i="1" s="1"/>
  <c r="CZ141" i="1"/>
  <c r="Y141" i="1" s="1"/>
  <c r="AD139" i="1"/>
  <c r="AB139" i="1" s="1"/>
  <c r="CY89" i="1"/>
  <c r="X89" i="1" s="1"/>
  <c r="CZ89" i="1"/>
  <c r="Y89" i="1" s="1"/>
  <c r="CJ49" i="1"/>
  <c r="CZ147" i="1"/>
  <c r="Y147" i="1" s="1"/>
  <c r="AD142" i="1"/>
  <c r="CQ139" i="1"/>
  <c r="P139" i="1" s="1"/>
  <c r="DF37" i="3"/>
  <c r="DJ37" i="3" s="1"/>
  <c r="DG37" i="3"/>
  <c r="DH37" i="3"/>
  <c r="DI37" i="3"/>
  <c r="DH24" i="3"/>
  <c r="DI24" i="3"/>
  <c r="DJ24" i="3" s="1"/>
  <c r="DG24" i="3"/>
  <c r="DF24" i="3"/>
  <c r="BB26" i="1"/>
  <c r="BB214" i="1"/>
  <c r="F197" i="1"/>
  <c r="CY145" i="1"/>
  <c r="X145" i="1" s="1"/>
  <c r="CZ144" i="1"/>
  <c r="Y144" i="1" s="1"/>
  <c r="F53" i="1"/>
  <c r="CC49" i="1"/>
  <c r="DF41" i="3"/>
  <c r="DJ41" i="3" s="1"/>
  <c r="DG41" i="3"/>
  <c r="DH41" i="3"/>
  <c r="DI41" i="3"/>
  <c r="CY85" i="1"/>
  <c r="X85" i="1" s="1"/>
  <c r="CZ85" i="1"/>
  <c r="Y85" i="1" s="1"/>
  <c r="CB49" i="1"/>
  <c r="GK133" i="1"/>
  <c r="CY86" i="1"/>
  <c r="X86" i="1" s="1"/>
  <c r="CZ86" i="1"/>
  <c r="Y86" i="1" s="1"/>
  <c r="AD85" i="1"/>
  <c r="AB85" i="1" s="1"/>
  <c r="CR85" i="1"/>
  <c r="Q85" i="1" s="1"/>
  <c r="CP85" i="1" s="1"/>
  <c r="O85" i="1" s="1"/>
  <c r="GM85" i="1" s="1"/>
  <c r="GP85" i="1" s="1"/>
  <c r="CS85" i="1"/>
  <c r="R85" i="1" s="1"/>
  <c r="GK85" i="1" s="1"/>
  <c r="DF65" i="3"/>
  <c r="DJ65" i="3" s="1"/>
  <c r="DG65" i="3"/>
  <c r="DH65" i="3"/>
  <c r="DI65" i="3"/>
  <c r="CV43" i="3"/>
  <c r="CX43" i="3"/>
  <c r="CS150" i="1"/>
  <c r="CR150" i="1"/>
  <c r="CZ136" i="1"/>
  <c r="Y136" i="1" s="1"/>
  <c r="CY136" i="1"/>
  <c r="X136" i="1" s="1"/>
  <c r="BD49" i="1"/>
  <c r="CM30" i="1"/>
  <c r="CG154" i="1"/>
  <c r="AD150" i="1"/>
  <c r="AB150" i="1" s="1"/>
  <c r="CL30" i="1"/>
  <c r="BC49" i="1"/>
  <c r="CY46" i="1"/>
  <c r="X46" i="1" s="1"/>
  <c r="CZ46" i="1"/>
  <c r="Y46" i="1" s="1"/>
  <c r="CP44" i="1"/>
  <c r="O44" i="1" s="1"/>
  <c r="GM44" i="1" s="1"/>
  <c r="GP44" i="1" s="1"/>
  <c r="CX72" i="3"/>
  <c r="I150" i="1"/>
  <c r="V150" i="1" s="1"/>
  <c r="AI154" i="1" s="1"/>
  <c r="CX74" i="3"/>
  <c r="CW72" i="3"/>
  <c r="W149" i="1"/>
  <c r="CX73" i="3"/>
  <c r="CU71" i="3"/>
  <c r="AB148" i="1"/>
  <c r="AB136" i="1"/>
  <c r="CQ136" i="1"/>
  <c r="P136" i="1" s="1"/>
  <c r="CP136" i="1" s="1"/>
  <c r="O136" i="1" s="1"/>
  <c r="GM136" i="1" s="1"/>
  <c r="GP136" i="1" s="1"/>
  <c r="CP87" i="1"/>
  <c r="O87" i="1" s="1"/>
  <c r="GM87" i="1" s="1"/>
  <c r="GP87" i="1" s="1"/>
  <c r="AI99" i="1"/>
  <c r="CS46" i="1"/>
  <c r="R46" i="1" s="1"/>
  <c r="GK46" i="1" s="1"/>
  <c r="CR46" i="1"/>
  <c r="Q46" i="1" s="1"/>
  <c r="CP46" i="1" s="1"/>
  <c r="O46" i="1" s="1"/>
  <c r="AD46" i="1"/>
  <c r="AB46" i="1" s="1"/>
  <c r="CW67" i="3"/>
  <c r="CX67" i="3"/>
  <c r="CY90" i="1"/>
  <c r="X90" i="1" s="1"/>
  <c r="CZ90" i="1"/>
  <c r="Y90" i="1" s="1"/>
  <c r="AG99" i="1"/>
  <c r="CS42" i="1"/>
  <c r="R42" i="1" s="1"/>
  <c r="GK42" i="1" s="1"/>
  <c r="CR42" i="1"/>
  <c r="Q42" i="1" s="1"/>
  <c r="CP42" i="1" s="1"/>
  <c r="O42" i="1" s="1"/>
  <c r="GM42" i="1" s="1"/>
  <c r="GP42" i="1" s="1"/>
  <c r="AD93" i="1"/>
  <c r="CY47" i="1"/>
  <c r="X47" i="1" s="1"/>
  <c r="CZ47" i="1"/>
  <c r="Y47" i="1" s="1"/>
  <c r="DH47" i="3"/>
  <c r="DI47" i="3"/>
  <c r="DJ47" i="3" s="1"/>
  <c r="DF47" i="3"/>
  <c r="DG47" i="3"/>
  <c r="CZ146" i="1"/>
  <c r="Y146" i="1" s="1"/>
  <c r="CY146" i="1"/>
  <c r="X146" i="1" s="1"/>
  <c r="CS47" i="1"/>
  <c r="R47" i="1" s="1"/>
  <c r="GK47" i="1" s="1"/>
  <c r="CR47" i="1"/>
  <c r="Q47" i="1" s="1"/>
  <c r="CP47" i="1" s="1"/>
  <c r="O47" i="1" s="1"/>
  <c r="GM47" i="1" s="1"/>
  <c r="GP47" i="1" s="1"/>
  <c r="DI52" i="3"/>
  <c r="DG52" i="3"/>
  <c r="DH52" i="3"/>
  <c r="DF52" i="3"/>
  <c r="DJ52" i="3" s="1"/>
  <c r="CY143" i="1"/>
  <c r="X143" i="1" s="1"/>
  <c r="GM143" i="1" s="1"/>
  <c r="GP143" i="1" s="1"/>
  <c r="CZ143" i="1"/>
  <c r="Y143" i="1" s="1"/>
  <c r="CP34" i="1"/>
  <c r="O34" i="1" s="1"/>
  <c r="GM34" i="1" s="1"/>
  <c r="GP34" i="1" s="1"/>
  <c r="DI58" i="3"/>
  <c r="DG58" i="3"/>
  <c r="DJ58" i="3" s="1"/>
  <c r="DH58" i="3"/>
  <c r="CY87" i="1"/>
  <c r="X87" i="1" s="1"/>
  <c r="CZ87" i="1"/>
  <c r="Y87" i="1" s="1"/>
  <c r="DF15" i="3"/>
  <c r="DG15" i="3"/>
  <c r="DJ15" i="3" s="1"/>
  <c r="DH15" i="3"/>
  <c r="DI15" i="3"/>
  <c r="AB97" i="1"/>
  <c r="CQ97" i="1"/>
  <c r="P97" i="1" s="1"/>
  <c r="AB47" i="1"/>
  <c r="CQ41" i="1"/>
  <c r="P41" i="1" s="1"/>
  <c r="CP41" i="1" s="1"/>
  <c r="O41" i="1" s="1"/>
  <c r="GM41" i="1" s="1"/>
  <c r="GP41" i="1" s="1"/>
  <c r="AB41" i="1"/>
  <c r="CX49" i="3"/>
  <c r="AD152" i="1"/>
  <c r="AB152" i="1" s="1"/>
  <c r="CR152" i="1"/>
  <c r="Q152" i="1" s="1"/>
  <c r="AP99" i="1"/>
  <c r="CI99" i="1"/>
  <c r="CY83" i="1"/>
  <c r="X83" i="1" s="1"/>
  <c r="CZ83" i="1"/>
  <c r="Y83" i="1" s="1"/>
  <c r="AF99" i="1"/>
  <c r="BZ49" i="1"/>
  <c r="CQ152" i="1"/>
  <c r="P152" i="1" s="1"/>
  <c r="CY148" i="1"/>
  <c r="X148" i="1" s="1"/>
  <c r="AB141" i="1"/>
  <c r="CQ141" i="1"/>
  <c r="P141" i="1" s="1"/>
  <c r="CP141" i="1" s="1"/>
  <c r="O141" i="1" s="1"/>
  <c r="W86" i="1"/>
  <c r="AJ99" i="1" s="1"/>
  <c r="CY94" i="1"/>
  <c r="X94" i="1" s="1"/>
  <c r="CZ94" i="1"/>
  <c r="Y94" i="1" s="1"/>
  <c r="V86" i="1"/>
  <c r="BY81" i="1"/>
  <c r="AD40" i="1"/>
  <c r="CR40" i="1"/>
  <c r="Q40" i="1" s="1"/>
  <c r="CP40" i="1" s="1"/>
  <c r="O40" i="1" s="1"/>
  <c r="GM40" i="1" s="1"/>
  <c r="GP40" i="1" s="1"/>
  <c r="CS40" i="1"/>
  <c r="R40" i="1" s="1"/>
  <c r="GK40" i="1" s="1"/>
  <c r="DF6" i="3"/>
  <c r="DG6" i="3"/>
  <c r="DH6" i="3"/>
  <c r="DI6" i="3"/>
  <c r="DJ6" i="3" s="1"/>
  <c r="AB149" i="1"/>
  <c r="AB40" i="1"/>
  <c r="AB133" i="1"/>
  <c r="CY41" i="1"/>
  <c r="X41" i="1" s="1"/>
  <c r="CZ41" i="1"/>
  <c r="Y41" i="1" s="1"/>
  <c r="DF69" i="3"/>
  <c r="DG69" i="3"/>
  <c r="DH69" i="3"/>
  <c r="CV49" i="3"/>
  <c r="DF34" i="3"/>
  <c r="DJ34" i="3" s="1"/>
  <c r="DG34" i="3"/>
  <c r="DH34" i="3"/>
  <c r="DI34" i="3"/>
  <c r="CR145" i="1"/>
  <c r="Q145" i="1" s="1"/>
  <c r="CS145" i="1"/>
  <c r="R145" i="1" s="1"/>
  <c r="GK145" i="1" s="1"/>
  <c r="AD145" i="1"/>
  <c r="AD135" i="1"/>
  <c r="AB135" i="1" s="1"/>
  <c r="CY43" i="1"/>
  <c r="X43" i="1" s="1"/>
  <c r="CZ43" i="1"/>
  <c r="Y43" i="1" s="1"/>
  <c r="AD36" i="1"/>
  <c r="AB36" i="1" s="1"/>
  <c r="CS36" i="1"/>
  <c r="R36" i="1" s="1"/>
  <c r="GK36" i="1" s="1"/>
  <c r="GM36" i="1" s="1"/>
  <c r="GP36" i="1" s="1"/>
  <c r="AB145" i="1"/>
  <c r="AB88" i="1"/>
  <c r="CZ139" i="1"/>
  <c r="Y139" i="1" s="1"/>
  <c r="U86" i="1"/>
  <c r="AH99" i="1" s="1"/>
  <c r="CZ37" i="1"/>
  <c r="Y37" i="1" s="1"/>
  <c r="GM37" i="1" s="1"/>
  <c r="GP37" i="1" s="1"/>
  <c r="CV71" i="3"/>
  <c r="CX71" i="3"/>
  <c r="DH46" i="3"/>
  <c r="DI46" i="3"/>
  <c r="DF46" i="3"/>
  <c r="DJ46" i="3" s="1"/>
  <c r="DG46" i="3"/>
  <c r="DH44" i="3"/>
  <c r="DI44" i="3"/>
  <c r="DF38" i="3"/>
  <c r="DG38" i="3"/>
  <c r="CP84" i="1"/>
  <c r="O84" i="1" s="1"/>
  <c r="CR44" i="1"/>
  <c r="Q44" i="1" s="1"/>
  <c r="CS44" i="1"/>
  <c r="R44" i="1" s="1"/>
  <c r="GK44" i="1" s="1"/>
  <c r="AB35" i="1"/>
  <c r="CV42" i="3"/>
  <c r="CX42" i="3"/>
  <c r="DH8" i="3"/>
  <c r="DI8" i="3"/>
  <c r="DJ8" i="3" s="1"/>
  <c r="DG8" i="3"/>
  <c r="GX149" i="1"/>
  <c r="CR90" i="1"/>
  <c r="Q90" i="1" s="1"/>
  <c r="CS90" i="1"/>
  <c r="R90" i="1" s="1"/>
  <c r="GK90" i="1" s="1"/>
  <c r="AD44" i="1"/>
  <c r="DG77" i="3"/>
  <c r="DH77" i="3"/>
  <c r="CV21" i="3"/>
  <c r="CX21" i="3"/>
  <c r="CM131" i="1"/>
  <c r="BD154" i="1"/>
  <c r="CU47" i="3"/>
  <c r="CV47" i="3"/>
  <c r="Q133" i="1"/>
  <c r="AD90" i="1"/>
  <c r="R86" i="1"/>
  <c r="GK86" i="1" s="1"/>
  <c r="DG14" i="3"/>
  <c r="DH14" i="3"/>
  <c r="CV10" i="3"/>
  <c r="CX10" i="3"/>
  <c r="CR144" i="1"/>
  <c r="Q144" i="1" s="1"/>
  <c r="CP144" i="1" s="1"/>
  <c r="O144" i="1" s="1"/>
  <c r="GM144" i="1" s="1"/>
  <c r="GP144" i="1" s="1"/>
  <c r="CS144" i="1"/>
  <c r="R144" i="1" s="1"/>
  <c r="GK144" i="1" s="1"/>
  <c r="AB140" i="1"/>
  <c r="CQ140" i="1"/>
  <c r="P140" i="1" s="1"/>
  <c r="W97" i="1"/>
  <c r="CJ99" i="1"/>
  <c r="F62" i="1"/>
  <c r="AB44" i="1"/>
  <c r="DI27" i="3"/>
  <c r="DF27" i="3"/>
  <c r="DJ27" i="3" s="1"/>
  <c r="DG27" i="3"/>
  <c r="DH27" i="3"/>
  <c r="CX25" i="3"/>
  <c r="DF12" i="3"/>
  <c r="DJ12" i="3" s="1"/>
  <c r="DG12" i="3"/>
  <c r="DH12" i="3"/>
  <c r="F158" i="1"/>
  <c r="AO131" i="1"/>
  <c r="AD144" i="1"/>
  <c r="AB144" i="1" s="1"/>
  <c r="CZ133" i="1"/>
  <c r="Y133" i="1" s="1"/>
  <c r="AB90" i="1"/>
  <c r="DI33" i="3"/>
  <c r="DJ33" i="3" s="1"/>
  <c r="DF33" i="3"/>
  <c r="DG33" i="3"/>
  <c r="CV25" i="3"/>
  <c r="CX48" i="3"/>
  <c r="DG16" i="3"/>
  <c r="DJ16" i="3" s="1"/>
  <c r="DH16" i="3"/>
  <c r="AD134" i="1"/>
  <c r="AB134" i="1" s="1"/>
  <c r="BZ99" i="1"/>
  <c r="CY38" i="1"/>
  <c r="X38" i="1" s="1"/>
  <c r="CZ38" i="1"/>
  <c r="Y38" i="1" s="1"/>
  <c r="DF18" i="3"/>
  <c r="DG18" i="3"/>
  <c r="DH18" i="3"/>
  <c r="DI18" i="3"/>
  <c r="DJ18" i="3" s="1"/>
  <c r="AP30" i="1"/>
  <c r="CP43" i="1"/>
  <c r="O43" i="1" s="1"/>
  <c r="GM43" i="1" s="1"/>
  <c r="GP43" i="1" s="1"/>
  <c r="CV62" i="3"/>
  <c r="CX62" i="3"/>
  <c r="DH32" i="3"/>
  <c r="DI32" i="3"/>
  <c r="DG32" i="3"/>
  <c r="DF32" i="3"/>
  <c r="DJ32" i="3" s="1"/>
  <c r="AB95" i="1"/>
  <c r="CQ95" i="1"/>
  <c r="P95" i="1" s="1"/>
  <c r="CP95" i="1" s="1"/>
  <c r="O95" i="1" s="1"/>
  <c r="GM95" i="1" s="1"/>
  <c r="GP95" i="1" s="1"/>
  <c r="CY93" i="1"/>
  <c r="X93" i="1" s="1"/>
  <c r="CZ93" i="1"/>
  <c r="Y93" i="1" s="1"/>
  <c r="CU70" i="3"/>
  <c r="CV70" i="3"/>
  <c r="V146" i="1"/>
  <c r="S97" i="1"/>
  <c r="CC99" i="1"/>
  <c r="AB137" i="1"/>
  <c r="R97" i="1"/>
  <c r="GK97" i="1" s="1"/>
  <c r="CR33" i="1"/>
  <c r="Q33" i="1" s="1"/>
  <c r="CP33" i="1" s="1"/>
  <c r="O33" i="1" s="1"/>
  <c r="GM33" i="1" s="1"/>
  <c r="GP33" i="1" s="1"/>
  <c r="CS33" i="1"/>
  <c r="R33" i="1" s="1"/>
  <c r="GK33" i="1" s="1"/>
  <c r="AD33" i="1"/>
  <c r="AB33" i="1" s="1"/>
  <c r="DH57" i="3"/>
  <c r="DI57" i="3"/>
  <c r="DJ57" i="3" s="1"/>
  <c r="DF57" i="3"/>
  <c r="DG57" i="3"/>
  <c r="AB91" i="1"/>
  <c r="DH68" i="3"/>
  <c r="DI68" i="3"/>
  <c r="DF68" i="3"/>
  <c r="DJ68" i="3" s="1"/>
  <c r="CV60" i="3"/>
  <c r="CX60" i="3"/>
  <c r="GX148" i="1"/>
  <c r="CR34" i="1"/>
  <c r="Q34" i="1" s="1"/>
  <c r="CS34" i="1"/>
  <c r="R34" i="1" s="1"/>
  <c r="GK34" i="1" s="1"/>
  <c r="CX70" i="3"/>
  <c r="DF51" i="3"/>
  <c r="DG51" i="3"/>
  <c r="DJ51" i="3" s="1"/>
  <c r="DH51" i="3"/>
  <c r="DI51" i="3"/>
  <c r="DH19" i="3"/>
  <c r="DI19" i="3"/>
  <c r="AB142" i="1"/>
  <c r="CR140" i="1"/>
  <c r="Q140" i="1" s="1"/>
  <c r="CS140" i="1"/>
  <c r="R140" i="1" s="1"/>
  <c r="GK140" i="1" s="1"/>
  <c r="CB154" i="1"/>
  <c r="AD86" i="1"/>
  <c r="AB86" i="1" s="1"/>
  <c r="CR86" i="1"/>
  <c r="Q86" i="1" s="1"/>
  <c r="CP86" i="1" s="1"/>
  <c r="O86" i="1" s="1"/>
  <c r="GM86" i="1" s="1"/>
  <c r="GP86" i="1" s="1"/>
  <c r="CS38" i="1"/>
  <c r="R38" i="1" s="1"/>
  <c r="GK38" i="1" s="1"/>
  <c r="CR38" i="1"/>
  <c r="Q38" i="1" s="1"/>
  <c r="CP38" i="1" s="1"/>
  <c r="O38" i="1" s="1"/>
  <c r="GM38" i="1" s="1"/>
  <c r="GP38" i="1" s="1"/>
  <c r="DF13" i="3"/>
  <c r="DG13" i="3"/>
  <c r="DH13" i="3"/>
  <c r="CY135" i="1"/>
  <c r="X135" i="1" s="1"/>
  <c r="CZ135" i="1"/>
  <c r="Y135" i="1" s="1"/>
  <c r="CR84" i="1"/>
  <c r="Q84" i="1" s="1"/>
  <c r="CS84" i="1"/>
  <c r="R84" i="1" s="1"/>
  <c r="GK84" i="1" s="1"/>
  <c r="AD84" i="1"/>
  <c r="AB84" i="1" s="1"/>
  <c r="DH45" i="3"/>
  <c r="DI45" i="3"/>
  <c r="CR89" i="1"/>
  <c r="Q89" i="1" s="1"/>
  <c r="CP89" i="1" s="1"/>
  <c r="O89" i="1" s="1"/>
  <c r="GM89" i="1" s="1"/>
  <c r="GP89" i="1" s="1"/>
  <c r="CS89" i="1"/>
  <c r="R89" i="1" s="1"/>
  <c r="GK89" i="1" s="1"/>
  <c r="CB99" i="1"/>
  <c r="CV53" i="3"/>
  <c r="CX53" i="3"/>
  <c r="DH40" i="3"/>
  <c r="DI40" i="3"/>
  <c r="GX133" i="1"/>
  <c r="AD89" i="1"/>
  <c r="AB89" i="1" s="1"/>
  <c r="AE99" i="1"/>
  <c r="DH66" i="3"/>
  <c r="DI66" i="3"/>
  <c r="DJ66" i="3" s="1"/>
  <c r="CV20" i="3"/>
  <c r="CX20" i="3"/>
  <c r="DF36" i="3"/>
  <c r="DG36" i="3"/>
  <c r="CV17" i="3"/>
  <c r="CX17" i="3"/>
  <c r="CR45" i="1"/>
  <c r="Q45" i="1" s="1"/>
  <c r="CP45" i="1" s="1"/>
  <c r="O45" i="1" s="1"/>
  <c r="GM45" i="1" s="1"/>
  <c r="GP45" i="1" s="1"/>
  <c r="CS45" i="1"/>
  <c r="R45" i="1" s="1"/>
  <c r="GK45" i="1" s="1"/>
  <c r="AD45" i="1"/>
  <c r="AB45" i="1" s="1"/>
  <c r="K74" i="7" l="1"/>
  <c r="P74" i="7"/>
  <c r="K286" i="7"/>
  <c r="P286" i="7"/>
  <c r="P55" i="7"/>
  <c r="K55" i="7"/>
  <c r="P202" i="7"/>
  <c r="K202" i="7"/>
  <c r="K117" i="7"/>
  <c r="P117" i="7"/>
  <c r="I215" i="7"/>
  <c r="P322" i="7"/>
  <c r="K322" i="7"/>
  <c r="P228" i="7"/>
  <c r="K228" i="7"/>
  <c r="K91" i="7"/>
  <c r="P91" i="7"/>
  <c r="I138" i="7"/>
  <c r="P245" i="7"/>
  <c r="I341" i="7" s="1"/>
  <c r="K245" i="7"/>
  <c r="K154" i="7"/>
  <c r="P154" i="7"/>
  <c r="K61" i="7"/>
  <c r="P61" i="7"/>
  <c r="P68" i="7"/>
  <c r="K68" i="7"/>
  <c r="K269" i="7"/>
  <c r="P269" i="7"/>
  <c r="AJ81" i="1"/>
  <c r="W99" i="1"/>
  <c r="AI131" i="1"/>
  <c r="V154" i="1"/>
  <c r="AH81" i="1"/>
  <c r="U99" i="1"/>
  <c r="AE81" i="1"/>
  <c r="R99" i="1"/>
  <c r="AQ49" i="1"/>
  <c r="BZ30" i="1"/>
  <c r="CI49" i="1"/>
  <c r="DI43" i="3"/>
  <c r="DJ43" i="3" s="1"/>
  <c r="DH43" i="3"/>
  <c r="DF43" i="3"/>
  <c r="DG43" i="3"/>
  <c r="AF81" i="1"/>
  <c r="S99" i="1"/>
  <c r="DG72" i="3"/>
  <c r="DJ72" i="3" s="1"/>
  <c r="DF72" i="3"/>
  <c r="DH72" i="3"/>
  <c r="DI72" i="3"/>
  <c r="CC30" i="1"/>
  <c r="AT49" i="1"/>
  <c r="AS154" i="1"/>
  <c r="CB131" i="1"/>
  <c r="T99" i="1"/>
  <c r="AG81" i="1"/>
  <c r="P150" i="1"/>
  <c r="AC154" i="1" s="1"/>
  <c r="DF62" i="3"/>
  <c r="DG62" i="3"/>
  <c r="DI62" i="3"/>
  <c r="DJ62" i="3" s="1"/>
  <c r="DH62" i="3"/>
  <c r="DF10" i="3"/>
  <c r="DG10" i="3"/>
  <c r="DI10" i="3"/>
  <c r="DJ10" i="3" s="1"/>
  <c r="DH10" i="3"/>
  <c r="AK99" i="1"/>
  <c r="DH42" i="3"/>
  <c r="DF42" i="3"/>
  <c r="DG42" i="3"/>
  <c r="DI42" i="3"/>
  <c r="DJ42" i="3" s="1"/>
  <c r="CI81" i="1"/>
  <c r="AZ99" i="1"/>
  <c r="DF53" i="3"/>
  <c r="DG53" i="3"/>
  <c r="DH53" i="3"/>
  <c r="DI53" i="3"/>
  <c r="DJ53" i="3" s="1"/>
  <c r="F108" i="1"/>
  <c r="AP81" i="1"/>
  <c r="DH67" i="3"/>
  <c r="DI67" i="3"/>
  <c r="DF67" i="3"/>
  <c r="DG67" i="3"/>
  <c r="DJ67" i="3" s="1"/>
  <c r="F65" i="1"/>
  <c r="BC30" i="1"/>
  <c r="BC184" i="1"/>
  <c r="BB22" i="1"/>
  <c r="BB246" i="1"/>
  <c r="F227" i="1"/>
  <c r="AL49" i="1"/>
  <c r="F72" i="1"/>
  <c r="V30" i="1"/>
  <c r="AS99" i="1"/>
  <c r="CB81" i="1"/>
  <c r="AP184" i="1"/>
  <c r="AK49" i="1"/>
  <c r="AE49" i="1"/>
  <c r="DF49" i="3"/>
  <c r="DG49" i="3"/>
  <c r="DH49" i="3"/>
  <c r="DI49" i="3"/>
  <c r="DJ49" i="3" s="1"/>
  <c r="S49" i="1"/>
  <c r="AF30" i="1"/>
  <c r="CP133" i="1"/>
  <c r="O133" i="1" s="1"/>
  <c r="AD154" i="1"/>
  <c r="GM84" i="1"/>
  <c r="GP84" i="1" s="1"/>
  <c r="AD49" i="1"/>
  <c r="GM46" i="1"/>
  <c r="GP46" i="1" s="1"/>
  <c r="U150" i="1"/>
  <c r="AH154" i="1" s="1"/>
  <c r="F163" i="1"/>
  <c r="AP131" i="1"/>
  <c r="AD99" i="1"/>
  <c r="AI81" i="1"/>
  <c r="V99" i="1"/>
  <c r="AC49" i="1"/>
  <c r="AZ154" i="1"/>
  <c r="CI131" i="1"/>
  <c r="CG49" i="1"/>
  <c r="AT99" i="1"/>
  <c r="CC81" i="1"/>
  <c r="DH25" i="3"/>
  <c r="DI25" i="3"/>
  <c r="DJ25" i="3" s="1"/>
  <c r="DF25" i="3"/>
  <c r="DG25" i="3"/>
  <c r="W150" i="1"/>
  <c r="AJ154" i="1" s="1"/>
  <c r="CG131" i="1"/>
  <c r="AX154" i="1"/>
  <c r="GM32" i="1"/>
  <c r="AB49" i="1"/>
  <c r="F71" i="1"/>
  <c r="U30" i="1"/>
  <c r="DG17" i="3"/>
  <c r="DF17" i="3"/>
  <c r="DH17" i="3"/>
  <c r="DI17" i="3"/>
  <c r="DJ17" i="3" s="1"/>
  <c r="DH70" i="3"/>
  <c r="DF70" i="3"/>
  <c r="DG70" i="3"/>
  <c r="DI70" i="3"/>
  <c r="DJ70" i="3" s="1"/>
  <c r="CZ97" i="1"/>
  <c r="Y97" i="1" s="1"/>
  <c r="AL99" i="1" s="1"/>
  <c r="CY97" i="1"/>
  <c r="X97" i="1" s="1"/>
  <c r="BD131" i="1"/>
  <c r="F179" i="1"/>
  <c r="CP97" i="1"/>
  <c r="O97" i="1" s="1"/>
  <c r="GM97" i="1" s="1"/>
  <c r="GP97" i="1" s="1"/>
  <c r="F188" i="1"/>
  <c r="AO214" i="1"/>
  <c r="AO26" i="1"/>
  <c r="AQ99" i="1"/>
  <c r="BZ81" i="1"/>
  <c r="CG99" i="1"/>
  <c r="BD30" i="1"/>
  <c r="F74" i="1"/>
  <c r="BD184" i="1"/>
  <c r="S150" i="1"/>
  <c r="DF21" i="3"/>
  <c r="DG21" i="3"/>
  <c r="DH21" i="3"/>
  <c r="DI21" i="3"/>
  <c r="DJ21" i="3" s="1"/>
  <c r="AS49" i="1"/>
  <c r="CB30" i="1"/>
  <c r="AC99" i="1"/>
  <c r="F73" i="1"/>
  <c r="W30" i="1"/>
  <c r="CP139" i="1"/>
  <c r="O139" i="1" s="1"/>
  <c r="GM139" i="1" s="1"/>
  <c r="GP139" i="1" s="1"/>
  <c r="F115" i="1"/>
  <c r="BC81" i="1"/>
  <c r="AB99" i="1"/>
  <c r="GM83" i="1"/>
  <c r="DF60" i="3"/>
  <c r="DG60" i="3"/>
  <c r="DH60" i="3"/>
  <c r="DI60" i="3"/>
  <c r="DJ60" i="3" s="1"/>
  <c r="GM141" i="1"/>
  <c r="GP141" i="1" s="1"/>
  <c r="GM149" i="1"/>
  <c r="GP149" i="1" s="1"/>
  <c r="DF20" i="3"/>
  <c r="DG20" i="3"/>
  <c r="DH20" i="3"/>
  <c r="DI20" i="3"/>
  <c r="DJ20" i="3" s="1"/>
  <c r="DG71" i="3"/>
  <c r="DH71" i="3"/>
  <c r="DI71" i="3"/>
  <c r="DJ71" i="3" s="1"/>
  <c r="DF71" i="3"/>
  <c r="DF73" i="3"/>
  <c r="DJ73" i="3" s="1"/>
  <c r="DG73" i="3"/>
  <c r="DH73" i="3"/>
  <c r="DI73" i="3"/>
  <c r="T150" i="1"/>
  <c r="AG154" i="1" s="1"/>
  <c r="AT131" i="1"/>
  <c r="F172" i="1"/>
  <c r="CJ81" i="1"/>
  <c r="BA99" i="1"/>
  <c r="GM148" i="1"/>
  <c r="GP148" i="1" s="1"/>
  <c r="DH56" i="3"/>
  <c r="DI56" i="3"/>
  <c r="DG56" i="3"/>
  <c r="DJ56" i="3" s="1"/>
  <c r="DF56" i="3"/>
  <c r="DF48" i="3"/>
  <c r="DG48" i="3"/>
  <c r="DJ48" i="3" s="1"/>
  <c r="DH48" i="3"/>
  <c r="DI48" i="3"/>
  <c r="CP152" i="1"/>
  <c r="O152" i="1" s="1"/>
  <c r="GM152" i="1" s="1"/>
  <c r="GP152" i="1" s="1"/>
  <c r="Q150" i="1"/>
  <c r="CJ30" i="1"/>
  <c r="BA49" i="1"/>
  <c r="AG30" i="1"/>
  <c r="T49" i="1"/>
  <c r="F164" i="1"/>
  <c r="AQ131" i="1"/>
  <c r="GX150" i="1"/>
  <c r="CJ154" i="1" s="1"/>
  <c r="CP140" i="1"/>
  <c r="O140" i="1" s="1"/>
  <c r="GM140" i="1" s="1"/>
  <c r="GP140" i="1" s="1"/>
  <c r="DH74" i="3"/>
  <c r="DI74" i="3"/>
  <c r="DG74" i="3"/>
  <c r="DF74" i="3"/>
  <c r="DJ74" i="3" s="1"/>
  <c r="R150" i="1"/>
  <c r="GK150" i="1" s="1"/>
  <c r="I346" i="7" l="1"/>
  <c r="I338" i="7"/>
  <c r="I335" i="7"/>
  <c r="Y99" i="1"/>
  <c r="AL81" i="1"/>
  <c r="AC131" i="1"/>
  <c r="CH154" i="1"/>
  <c r="CE154" i="1"/>
  <c r="CF154" i="1"/>
  <c r="P154" i="1"/>
  <c r="BA154" i="1"/>
  <c r="CJ131" i="1"/>
  <c r="F122" i="1"/>
  <c r="V81" i="1"/>
  <c r="CZ150" i="1"/>
  <c r="Y150" i="1" s="1"/>
  <c r="AL154" i="1" s="1"/>
  <c r="CY150" i="1"/>
  <c r="X150" i="1" s="1"/>
  <c r="AK154" i="1" s="1"/>
  <c r="AF154" i="1"/>
  <c r="BD26" i="1"/>
  <c r="F209" i="1"/>
  <c r="BD214" i="1"/>
  <c r="AK81" i="1"/>
  <c r="X99" i="1"/>
  <c r="Q49" i="1"/>
  <c r="AD30" i="1"/>
  <c r="GP83" i="1"/>
  <c r="CD99" i="1" s="1"/>
  <c r="CA99" i="1"/>
  <c r="AB81" i="1"/>
  <c r="O99" i="1"/>
  <c r="AX131" i="1"/>
  <c r="F161" i="1"/>
  <c r="GM133" i="1"/>
  <c r="AG131" i="1"/>
  <c r="T154" i="1"/>
  <c r="CI30" i="1"/>
  <c r="AZ49" i="1"/>
  <c r="F64" i="1"/>
  <c r="S30" i="1"/>
  <c r="F59" i="1"/>
  <c r="AQ184" i="1"/>
  <c r="AQ30" i="1"/>
  <c r="R81" i="1"/>
  <c r="F113" i="1"/>
  <c r="BA30" i="1"/>
  <c r="F69" i="1"/>
  <c r="BA184" i="1"/>
  <c r="F120" i="1"/>
  <c r="T81" i="1"/>
  <c r="AT81" i="1"/>
  <c r="F117" i="1"/>
  <c r="R49" i="1"/>
  <c r="AE30" i="1"/>
  <c r="F66" i="1"/>
  <c r="AS30" i="1"/>
  <c r="AS184" i="1"/>
  <c r="AX49" i="1"/>
  <c r="CG30" i="1"/>
  <c r="F177" i="1"/>
  <c r="V131" i="1"/>
  <c r="F193" i="1"/>
  <c r="AP214" i="1"/>
  <c r="AP26" i="1"/>
  <c r="AS131" i="1"/>
  <c r="F171" i="1"/>
  <c r="AZ131" i="1"/>
  <c r="F165" i="1"/>
  <c r="F123" i="1"/>
  <c r="W81" i="1"/>
  <c r="V184" i="1"/>
  <c r="Q99" i="1"/>
  <c r="AD81" i="1"/>
  <c r="AL30" i="1"/>
  <c r="Y49" i="1"/>
  <c r="AH131" i="1"/>
  <c r="U154" i="1"/>
  <c r="BB18" i="1"/>
  <c r="F259" i="1"/>
  <c r="S81" i="1"/>
  <c r="F114" i="1"/>
  <c r="CG81" i="1"/>
  <c r="AX99" i="1"/>
  <c r="BA81" i="1"/>
  <c r="F119" i="1"/>
  <c r="O49" i="1"/>
  <c r="AB30" i="1"/>
  <c r="BC26" i="1"/>
  <c r="BC214" i="1"/>
  <c r="F200" i="1"/>
  <c r="F109" i="1"/>
  <c r="AQ81" i="1"/>
  <c r="CA49" i="1"/>
  <c r="GP32" i="1"/>
  <c r="CD49" i="1" s="1"/>
  <c r="AD131" i="1"/>
  <c r="Q154" i="1"/>
  <c r="AO22" i="1"/>
  <c r="F218" i="1"/>
  <c r="AO246" i="1"/>
  <c r="AJ131" i="1"/>
  <c r="W154" i="1"/>
  <c r="AE154" i="1"/>
  <c r="F70" i="1"/>
  <c r="T30" i="1"/>
  <c r="T184" i="1"/>
  <c r="CP150" i="1"/>
  <c r="O150" i="1" s="1"/>
  <c r="GM150" i="1" s="1"/>
  <c r="GP150" i="1" s="1"/>
  <c r="P99" i="1"/>
  <c r="AC81" i="1"/>
  <c r="CE99" i="1"/>
  <c r="CF99" i="1"/>
  <c r="CH99" i="1"/>
  <c r="F121" i="1"/>
  <c r="U81" i="1"/>
  <c r="X49" i="1"/>
  <c r="AK30" i="1"/>
  <c r="AC30" i="1"/>
  <c r="CF49" i="1"/>
  <c r="CH49" i="1"/>
  <c r="P49" i="1"/>
  <c r="CE49" i="1"/>
  <c r="F116" i="1"/>
  <c r="AS81" i="1"/>
  <c r="F110" i="1"/>
  <c r="AZ81" i="1"/>
  <c r="F67" i="1"/>
  <c r="AT30" i="1"/>
  <c r="AT184" i="1"/>
  <c r="X30" i="1" l="1"/>
  <c r="F75" i="1"/>
  <c r="BA26" i="1"/>
  <c r="F204" i="1"/>
  <c r="BA214" i="1"/>
  <c r="AU99" i="1"/>
  <c r="CD81" i="1"/>
  <c r="Q30" i="1"/>
  <c r="Q184" i="1"/>
  <c r="F61" i="1"/>
  <c r="CH81" i="1"/>
  <c r="AY99" i="1"/>
  <c r="BC22" i="1"/>
  <c r="BC246" i="1"/>
  <c r="F230" i="1"/>
  <c r="X81" i="1"/>
  <c r="F125" i="1"/>
  <c r="CF81" i="1"/>
  <c r="AW99" i="1"/>
  <c r="CE81" i="1"/>
  <c r="AV99" i="1"/>
  <c r="F239" i="1"/>
  <c r="BD246" i="1"/>
  <c r="BD22" i="1"/>
  <c r="O30" i="1"/>
  <c r="F51" i="1"/>
  <c r="F194" i="1"/>
  <c r="AQ214" i="1"/>
  <c r="AQ26" i="1"/>
  <c r="F102" i="1"/>
  <c r="P81" i="1"/>
  <c r="F223" i="1"/>
  <c r="G16" i="2" s="1"/>
  <c r="AP22" i="1"/>
  <c r="AP246" i="1"/>
  <c r="S154" i="1"/>
  <c r="AF131" i="1"/>
  <c r="AT26" i="1"/>
  <c r="F202" i="1"/>
  <c r="AT214" i="1"/>
  <c r="T214" i="1"/>
  <c r="F205" i="1"/>
  <c r="T26" i="1"/>
  <c r="F106" i="1"/>
  <c r="AX81" i="1"/>
  <c r="X154" i="1"/>
  <c r="AK131" i="1"/>
  <c r="Y154" i="1"/>
  <c r="AL131" i="1"/>
  <c r="AZ30" i="1"/>
  <c r="F60" i="1"/>
  <c r="AZ184" i="1"/>
  <c r="R154" i="1"/>
  <c r="AE131" i="1"/>
  <c r="F56" i="1"/>
  <c r="AX184" i="1"/>
  <c r="AX30" i="1"/>
  <c r="W131" i="1"/>
  <c r="F178" i="1"/>
  <c r="W184" i="1"/>
  <c r="F201" i="1"/>
  <c r="AS214" i="1"/>
  <c r="AS26" i="1"/>
  <c r="T131" i="1"/>
  <c r="F175" i="1"/>
  <c r="BA131" i="1"/>
  <c r="F174" i="1"/>
  <c r="AO18" i="1"/>
  <c r="F250" i="1"/>
  <c r="U131" i="1"/>
  <c r="F176" i="1"/>
  <c r="U184" i="1"/>
  <c r="AB154" i="1"/>
  <c r="P131" i="1"/>
  <c r="F157" i="1"/>
  <c r="AV49" i="1"/>
  <c r="CE30" i="1"/>
  <c r="GP133" i="1"/>
  <c r="CD154" i="1" s="1"/>
  <c r="CA154" i="1"/>
  <c r="AW154" i="1"/>
  <c r="CF131" i="1"/>
  <c r="P184" i="1"/>
  <c r="P30" i="1"/>
  <c r="F52" i="1"/>
  <c r="Y30" i="1"/>
  <c r="F76" i="1"/>
  <c r="Y184" i="1"/>
  <c r="R30" i="1"/>
  <c r="F63" i="1"/>
  <c r="AV154" i="1"/>
  <c r="CE131" i="1"/>
  <c r="CH30" i="1"/>
  <c r="AY49" i="1"/>
  <c r="Q131" i="1"/>
  <c r="F166" i="1"/>
  <c r="AY154" i="1"/>
  <c r="CH131" i="1"/>
  <c r="AW49" i="1"/>
  <c r="CF30" i="1"/>
  <c r="O81" i="1"/>
  <c r="F101" i="1"/>
  <c r="AU49" i="1"/>
  <c r="CD30" i="1"/>
  <c r="Q81" i="1"/>
  <c r="F111" i="1"/>
  <c r="AR49" i="1"/>
  <c r="CA30" i="1"/>
  <c r="V26" i="1"/>
  <c r="V214" i="1"/>
  <c r="F207" i="1"/>
  <c r="AR99" i="1"/>
  <c r="CA81" i="1"/>
  <c r="Y81" i="1"/>
  <c r="F126" i="1"/>
  <c r="Y214" i="1" l="1"/>
  <c r="Y26" i="1"/>
  <c r="F211" i="1"/>
  <c r="F104" i="1"/>
  <c r="AV81" i="1"/>
  <c r="AR184" i="1"/>
  <c r="F77" i="1"/>
  <c r="AR30" i="1"/>
  <c r="T22" i="1"/>
  <c r="T246" i="1"/>
  <c r="F235" i="1"/>
  <c r="AS22" i="1"/>
  <c r="F231" i="1"/>
  <c r="E16" i="2" s="1"/>
  <c r="AS246" i="1"/>
  <c r="AT22" i="1"/>
  <c r="F232" i="1"/>
  <c r="F16" i="2" s="1"/>
  <c r="AT246" i="1"/>
  <c r="P214" i="1"/>
  <c r="F187" i="1"/>
  <c r="P26" i="1"/>
  <c r="F68" i="1"/>
  <c r="AU184" i="1"/>
  <c r="AU30" i="1"/>
  <c r="S131" i="1"/>
  <c r="F169" i="1"/>
  <c r="S184" i="1"/>
  <c r="BC18" i="1"/>
  <c r="F262" i="1"/>
  <c r="AU154" i="1"/>
  <c r="CD131" i="1"/>
  <c r="AX26" i="1"/>
  <c r="F191" i="1"/>
  <c r="AX214" i="1"/>
  <c r="F107" i="1"/>
  <c r="AY81" i="1"/>
  <c r="AW184" i="1"/>
  <c r="F55" i="1"/>
  <c r="AW30" i="1"/>
  <c r="F168" i="1"/>
  <c r="R131" i="1"/>
  <c r="F196" i="1"/>
  <c r="Q214" i="1"/>
  <c r="Q26" i="1"/>
  <c r="AZ26" i="1"/>
  <c r="F195" i="1"/>
  <c r="AZ214" i="1"/>
  <c r="F206" i="1"/>
  <c r="U26" i="1"/>
  <c r="U214" i="1"/>
  <c r="F181" i="1"/>
  <c r="Y131" i="1"/>
  <c r="F159" i="1"/>
  <c r="AV131" i="1"/>
  <c r="AR81" i="1"/>
  <c r="F127" i="1"/>
  <c r="F180" i="1"/>
  <c r="X131" i="1"/>
  <c r="X184" i="1"/>
  <c r="R184" i="1"/>
  <c r="BD18" i="1"/>
  <c r="F271" i="1"/>
  <c r="F105" i="1"/>
  <c r="AW81" i="1"/>
  <c r="W26" i="1"/>
  <c r="W214" i="1"/>
  <c r="F208" i="1"/>
  <c r="AW131" i="1"/>
  <c r="F160" i="1"/>
  <c r="CA131" i="1"/>
  <c r="AR154" i="1"/>
  <c r="AP18" i="1"/>
  <c r="F255" i="1"/>
  <c r="AV184" i="1"/>
  <c r="F54" i="1"/>
  <c r="AV30" i="1"/>
  <c r="F162" i="1"/>
  <c r="AY131" i="1"/>
  <c r="O154" i="1"/>
  <c r="AB131" i="1"/>
  <c r="AQ22" i="1"/>
  <c r="AQ246" i="1"/>
  <c r="F224" i="1"/>
  <c r="AY30" i="1"/>
  <c r="F57" i="1"/>
  <c r="AY184" i="1"/>
  <c r="AU81" i="1"/>
  <c r="F118" i="1"/>
  <c r="BA22" i="1"/>
  <c r="F234" i="1"/>
  <c r="BA246" i="1"/>
  <c r="V22" i="1"/>
  <c r="V246" i="1"/>
  <c r="F237" i="1"/>
  <c r="AU26" i="1" l="1"/>
  <c r="F203" i="1"/>
  <c r="AU214" i="1"/>
  <c r="W22" i="1"/>
  <c r="W246" i="1"/>
  <c r="F238" i="1"/>
  <c r="Q22" i="1"/>
  <c r="F226" i="1"/>
  <c r="Q246" i="1"/>
  <c r="P22" i="1"/>
  <c r="F217" i="1"/>
  <c r="P246" i="1"/>
  <c r="AQ18" i="1"/>
  <c r="F256" i="1"/>
  <c r="X26" i="1"/>
  <c r="X214" i="1"/>
  <c r="F210" i="1"/>
  <c r="O131" i="1"/>
  <c r="F156" i="1"/>
  <c r="O184" i="1"/>
  <c r="AX22" i="1"/>
  <c r="F221" i="1"/>
  <c r="AX246" i="1"/>
  <c r="T18" i="1"/>
  <c r="F267" i="1"/>
  <c r="AV214" i="1"/>
  <c r="F189" i="1"/>
  <c r="AV26" i="1"/>
  <c r="AU131" i="1"/>
  <c r="F173" i="1"/>
  <c r="AR26" i="1"/>
  <c r="AR214" i="1"/>
  <c r="F212" i="1"/>
  <c r="U22" i="1"/>
  <c r="U246" i="1"/>
  <c r="F236" i="1"/>
  <c r="V18" i="1"/>
  <c r="F269" i="1"/>
  <c r="AR131" i="1"/>
  <c r="F182" i="1"/>
  <c r="S214" i="1"/>
  <c r="F199" i="1"/>
  <c r="S26" i="1"/>
  <c r="F266" i="1"/>
  <c r="BA18" i="1"/>
  <c r="AZ246" i="1"/>
  <c r="AZ22" i="1"/>
  <c r="F225" i="1"/>
  <c r="AY214" i="1"/>
  <c r="F192" i="1"/>
  <c r="AY26" i="1"/>
  <c r="AT18" i="1"/>
  <c r="F264" i="1"/>
  <c r="R214" i="1"/>
  <c r="F198" i="1"/>
  <c r="R26" i="1"/>
  <c r="AW26" i="1"/>
  <c r="F190" i="1"/>
  <c r="AW214" i="1"/>
  <c r="F263" i="1"/>
  <c r="AS18" i="1"/>
  <c r="Y246" i="1"/>
  <c r="F241" i="1"/>
  <c r="Y22" i="1"/>
  <c r="O214" i="1" l="1"/>
  <c r="F186" i="1"/>
  <c r="O26" i="1"/>
  <c r="F273" i="1"/>
  <c r="Y18" i="1"/>
  <c r="AW246" i="1"/>
  <c r="AW22" i="1"/>
  <c r="F220" i="1"/>
  <c r="P18" i="1"/>
  <c r="F249" i="1"/>
  <c r="R246" i="1"/>
  <c r="F228" i="1"/>
  <c r="R22" i="1"/>
  <c r="Q18" i="1"/>
  <c r="F258" i="1"/>
  <c r="AV22" i="1"/>
  <c r="F219" i="1"/>
  <c r="AV246" i="1"/>
  <c r="F270" i="1"/>
  <c r="W18" i="1"/>
  <c r="AZ18" i="1"/>
  <c r="F257" i="1"/>
  <c r="AX18" i="1"/>
  <c r="F253" i="1"/>
  <c r="S246" i="1"/>
  <c r="F229" i="1"/>
  <c r="S22" i="1"/>
  <c r="X22" i="1"/>
  <c r="F240" i="1"/>
  <c r="X246" i="1"/>
  <c r="F268" i="1"/>
  <c r="U18" i="1"/>
  <c r="AR22" i="1"/>
  <c r="AR246" i="1"/>
  <c r="F242" i="1"/>
  <c r="F222" i="1"/>
  <c r="AY22" i="1"/>
  <c r="AY246" i="1"/>
  <c r="AU22" i="1"/>
  <c r="F233" i="1"/>
  <c r="H16" i="2" s="1"/>
  <c r="I16" i="2" s="1"/>
  <c r="N16" i="2" s="1"/>
  <c r="AU246" i="1"/>
  <c r="AY18" i="1" l="1"/>
  <c r="F254" i="1"/>
  <c r="AR18" i="1"/>
  <c r="F274" i="1"/>
  <c r="F275" i="1" s="1"/>
  <c r="R18" i="1"/>
  <c r="F260" i="1"/>
  <c r="X18" i="1"/>
  <c r="F272" i="1"/>
  <c r="AW18" i="1"/>
  <c r="F252" i="1"/>
  <c r="S18" i="1"/>
  <c r="F261" i="1"/>
  <c r="F265" i="1"/>
  <c r="AU18" i="1"/>
  <c r="F251" i="1"/>
  <c r="AV18" i="1"/>
  <c r="F244" i="1"/>
  <c r="J16" i="2"/>
  <c r="F216" i="1"/>
  <c r="O22" i="1"/>
  <c r="O246" i="1"/>
  <c r="F248" i="1" l="1"/>
  <c r="O18" i="1"/>
  <c r="F277" i="1"/>
  <c r="I349" i="7" s="1"/>
</calcChain>
</file>

<file path=xl/sharedStrings.xml><?xml version="1.0" encoding="utf-8"?>
<sst xmlns="http://schemas.openxmlformats.org/spreadsheetml/2006/main" count="4846" uniqueCount="382">
  <si>
    <t>Smeta.RU Flash  (495) 974-1589</t>
  </si>
  <si>
    <t>_PS_</t>
  </si>
  <si>
    <t>Smeta.RU Flash</t>
  </si>
  <si>
    <t/>
  </si>
  <si>
    <t>Новый объект</t>
  </si>
  <si>
    <t>Зона 2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</si>
  <si>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</si>
  <si>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</si>
  <si>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</si>
  <si>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</si>
  <si>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</si>
  <si>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</si>
  <si>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</si>
  <si>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Локальная смета: Зона №2</t>
  </si>
  <si>
    <t>Новый раздел</t>
  </si>
  <si>
    <t>Раздел: Основная зона</t>
  </si>
  <si>
    <t>Новый подраздел</t>
  </si>
  <si>
    <t>1</t>
  </si>
  <si>
    <t>5.3-1102-12-1/1</t>
  </si>
  <si>
    <t>Уборка снега средствами малой механизации</t>
  </si>
  <si>
    <t>1000 м2</t>
  </si>
  <si>
    <t>СН-2012.5 Выпуск № 5 (в текущих ценах по состоянию на 01.10.2025 г.). 5.3-1102-12-1/1</t>
  </si>
  <si>
    <t>)*55</t>
  </si>
  <si>
    <t>СН-2012</t>
  </si>
  <si>
    <t>Подрядные работы, гл. 1-5,7</t>
  </si>
  <si>
    <t>работа</t>
  </si>
  <si>
    <t>2</t>
  </si>
  <si>
    <t>5.3-1102-8-1/1</t>
  </si>
  <si>
    <t>Уборка свежевыпавшего снега вручную толщиной слоя до 10 см</t>
  </si>
  <si>
    <t>100 м2</t>
  </si>
  <si>
    <t>СН-2012.5 Выпуск № 5 (в текущих ценах по состоянию на 01.10.2025 г.). 5.3-1102-8-1/1</t>
  </si>
  <si>
    <t>3</t>
  </si>
  <si>
    <t>5.3-1101-15-1/1</t>
  </si>
  <si>
    <t>Подметание тротуаров, придомовых и внутрибольничных проездов средствами малой механизации</t>
  </si>
  <si>
    <t>СН-2012.5 Выпуск № 5 (в текущих ценах по состоянию на 01.10.2025 г.). 5.3-1101-15-1/1</t>
  </si>
  <si>
    <t>)*111</t>
  </si>
  <si>
    <t>3,1</t>
  </si>
  <si>
    <t>21.1-25-13</t>
  </si>
  <si>
    <t>Вода</t>
  </si>
  <si>
    <t>м3</t>
  </si>
  <si>
    <t>СН-2012.21 Выпуск № 5 (в текущих ценах по состоянию на 01.10.2025 г.). 21.1-25-13</t>
  </si>
  <si>
    <t>4</t>
  </si>
  <si>
    <t>5.3-1101-13-1/1</t>
  </si>
  <si>
    <t>Подметание вручную дорожек и площадок с твердым покрытием</t>
  </si>
  <si>
    <t>СН-2012.5 Выпуск № 5 (в текущих ценах по состоянию на 01.10.2025 г.). 5.3-1101-13-1/1</t>
  </si>
  <si>
    <t>5</t>
  </si>
  <si>
    <t>5.3-1101-13-2/1</t>
  </si>
  <si>
    <t>Подметание вручную дорожек и площадок с грунтовым и щебеночным покрытием</t>
  </si>
  <si>
    <t>СН-2012.5 Выпуск № 5 (в текущих ценах по состоянию на 01.10.2025 г.). 5.3-1101-13-2/1</t>
  </si>
  <si>
    <t>6</t>
  </si>
  <si>
    <t>5.3-1102-21-1/1</t>
  </si>
  <si>
    <t>Уборка детских и спортивных площадок с резиновым покрытием от снега - свежевыпавшего толщиной до 5 см</t>
  </si>
  <si>
    <t>СН-2012.5 Выпуск № 5 (в текущих ценах по состоянию на 01.10.2025 г.). 5.3-1102-21-1/1</t>
  </si>
  <si>
    <t>7</t>
  </si>
  <si>
    <t>5.3-1102-10-3/1</t>
  </si>
  <si>
    <t>Посыпка противогололедными реагентами ХКНтв дорожных покрытий вручную</t>
  </si>
  <si>
    <t>СН-2012.5 Выпуск № 5 (в текущих ценах по состоянию на 01.10.2025 г.). 5.3-1102-10-3/1</t>
  </si>
  <si>
    <t>)*30</t>
  </si>
  <si>
    <t>8</t>
  </si>
  <si>
    <t>5.3-1102-13-3/1</t>
  </si>
  <si>
    <t>Посыпка противогололедными реагентами дорожных покрытий средствами малой механизации</t>
  </si>
  <si>
    <t>СН-2012.5 Выпуск № 5 (в текущих ценах по состоянию на 01.10.2025 г.). 5.3-1102-13-3/1</t>
  </si>
  <si>
    <t>9</t>
  </si>
  <si>
    <t>5.3-1102-9-1/1</t>
  </si>
  <si>
    <t>Колка льда на обледеневших покрытиях вручную</t>
  </si>
  <si>
    <t>СН-2012.5 Выпуск № 5 (в текущих ценах по состоянию на 01.10.2025 г.). 5.3-1102-9-1/1</t>
  </si>
  <si>
    <t>)*20</t>
  </si>
  <si>
    <t>10</t>
  </si>
  <si>
    <t>5.3-1102-25-1/1</t>
  </si>
  <si>
    <t>Сбор и перемещение снега и скола к месту временного размещения механизированным способом, объем ковша погрузчика до 0,5 м3 - перемещение на 250 м</t>
  </si>
  <si>
    <t>СН-2012.5 Выпуск № 5 (в текущих ценах по состоянию на 01.10.2025 г.). 5.3-1102-25-1/1</t>
  </si>
  <si>
    <t>11</t>
  </si>
  <si>
    <t>5.3-1102-14-1/1</t>
  </si>
  <si>
    <t>Погрузка снега средствами малой механизации</t>
  </si>
  <si>
    <t>СН-2012.5 Выпуск № 5 (в текущих ценах по состоянию на 01.10.2025 г.). 5.3-1102-14-1/1</t>
  </si>
  <si>
    <t>12</t>
  </si>
  <si>
    <t>5.3-1102-4-1/1</t>
  </si>
  <si>
    <t>Очистка скамеек, садовых диванов, урн, цветочниц, боллардов от снега вручную</t>
  </si>
  <si>
    <t>СН-2012.5 Выпуск № 5 (в текущих ценах по состоянию на 01.10.2025 г.). 5.3-1102-4-1/1</t>
  </si>
  <si>
    <t>)*22</t>
  </si>
  <si>
    <t>13</t>
  </si>
  <si>
    <t>5.3-1101-12-1/1</t>
  </si>
  <si>
    <t>Уход за урнами на придомовых и внутрибольничных территориях, очистка урн опрокидывающихся от мусора</t>
  </si>
  <si>
    <t>100 шт.</t>
  </si>
  <si>
    <t>СН-2012.5 Выпуск № 5 (в текущих ценах по состоянию на 01.10.2025 г.). 5.3-1101-12-1/1</t>
  </si>
  <si>
    <t>)*166</t>
  </si>
  <si>
    <t>14</t>
  </si>
  <si>
    <t>5.4-1202-1-1/1</t>
  </si>
  <si>
    <t>Рыхление смерзшегося снега по краю газона</t>
  </si>
  <si>
    <t>СН-2012.5 Выпуск № 5 (в текущих ценах по состоянию на 01.10.2025 г.). 5.4-1202-1-1/1</t>
  </si>
  <si>
    <t>15</t>
  </si>
  <si>
    <t>5.3-1102-7-1/1</t>
  </si>
  <si>
    <t>Очистка от снега и мусора контейнерной площадки вручную</t>
  </si>
  <si>
    <t>СН-2012.5 Выпуск № 5 (в текущих ценах по состоянию на 01.10.2025 г.). 5.3-1102-7-1/1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</si>
  <si>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</si>
  <si>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</si>
  <si>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</si>
  <si>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</si>
  <si>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</si>
  <si>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</si>
  <si>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</si>
  <si>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</si>
  <si>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</si>
  <si>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</si>
  <si>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</si>
  <si>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</si>
  <si>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</si>
  <si>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</si>
  <si>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</si>
  <si>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</si>
  <si>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</si>
  <si>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</si>
  <si>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</si>
  <si>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</si>
  <si>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</si>
  <si>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</si>
  <si>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</si>
  <si>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</si>
  <si>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</si>
  <si>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</si>
  <si>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</si>
  <si>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</si>
  <si>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</si>
  <si>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</si>
  <si>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</si>
  <si>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</si>
  <si>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</si>
  <si>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</si>
  <si>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</si>
  <si>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</si>
  <si>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</si>
  <si>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</si>
  <si>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</si>
  <si>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</si>
  <si>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</si>
  <si>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</si>
  <si>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</si>
  <si>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</si>
  <si>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</si>
  <si>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</si>
  <si>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</si>
  <si>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</si>
  <si>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</si>
  <si>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</si>
  <si>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</si>
  <si>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</si>
  <si>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</si>
  <si>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</si>
  <si>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16</t>
  </si>
  <si>
    <t>)*171</t>
  </si>
  <si>
    <t>16,1</t>
  </si>
  <si>
    <t>17</t>
  </si>
  <si>
    <t>18</t>
  </si>
  <si>
    <t>19</t>
  </si>
  <si>
    <t>5.3-1101-19-1/1</t>
  </si>
  <si>
    <t>Уборка полиуретанового покрытия игровых площадок, спортивных дорожек и площадок вручную</t>
  </si>
  <si>
    <t>СН-2012.5 Выпуск № 5 (в текущих ценах по состоянию на 01.10.2025 г.). 5.3-1101-19-1/1</t>
  </si>
  <si>
    <t>20</t>
  </si>
  <si>
    <t>5.3-1101-15-4/1</t>
  </si>
  <si>
    <t>Полив тротуаров, придомовых и внутрибольничных проездов средствами малой механизации</t>
  </si>
  <si>
    <t>СН-2012.5 Выпуск № 5 (в текущих ценах по состоянию на 01.10.2025 г.). 5.3-1101-15-4/1</t>
  </si>
  <si>
    <t>)*10</t>
  </si>
  <si>
    <t>20,1</t>
  </si>
  <si>
    <t>5.3-1101-15-5/1</t>
  </si>
  <si>
    <t>Мытье тротуаров, придомовых и внутрибольничных проездов средствами малой механизации</t>
  </si>
  <si>
    <t>СН-2012.5 Выпуск № 5 (в текущих ценах по состоянию на 01.10.2025 г.). 5.3-1101-15-5/1</t>
  </si>
  <si>
    <t>21</t>
  </si>
  <si>
    <t>5.3-1101-10-1/1</t>
  </si>
  <si>
    <t>Протирка садовых диванов и скамеек</t>
  </si>
  <si>
    <t>СН-2012.5 Выпуск № 5 (в текущих ценах по состоянию на 01.10.2025 г.). 5.3-1101-10-1/1</t>
  </si>
  <si>
    <t>)*19</t>
  </si>
  <si>
    <t>22</t>
  </si>
  <si>
    <t>)*186</t>
  </si>
  <si>
    <t>23</t>
  </si>
  <si>
    <t>5.3-1101-12-3/1</t>
  </si>
  <si>
    <t>Уход за урнами на придомовых и внутрибольничных территориях, промывка урн опрокидывающихся</t>
  </si>
  <si>
    <t>СН-2012.5 Выпуск № 5 (в текущих ценах по состоянию на 01.10.2025 г.). 5.3-1101-12-3/1</t>
  </si>
  <si>
    <t>)*13</t>
  </si>
  <si>
    <t>24</t>
  </si>
  <si>
    <t>5.3-1101-11-1/1</t>
  </si>
  <si>
    <t>Подметание контейнерной площадки с уборкой мусора</t>
  </si>
  <si>
    <t>10 м2</t>
  </si>
  <si>
    <t>СН-2012.5 Выпуск № 5 (в текущих ценах по состоянию на 01.10.2025 г.). 5.3-1101-11-1/1</t>
  </si>
  <si>
    <t>25</t>
  </si>
  <si>
    <t>5.3-1101-4-2/1</t>
  </si>
  <si>
    <t>Промывка оград металлических простого рисунка от пыли и грязи водой под напором</t>
  </si>
  <si>
    <t>СН-2012.5 Выпуск № 5 (в текущих ценах по состоянию на 01.10.2025 г.). 5.3-1101-4-2/1</t>
  </si>
  <si>
    <t>)*3</t>
  </si>
  <si>
    <t>25,1</t>
  </si>
  <si>
    <t>26</t>
  </si>
  <si>
    <t>5.4-1201-3-2/1</t>
  </si>
  <si>
    <t>Уборка газонов от опавших листьев и мусора пневмомашиной</t>
  </si>
  <si>
    <t>СН-2012.5 Выпуск № 5 (в текущих ценах по состоянию на 01.10.2025 г.). 5.4-1201-3-2/1</t>
  </si>
  <si>
    <t>27</t>
  </si>
  <si>
    <t>5.4-1201-3-1/1</t>
  </si>
  <si>
    <t>Уборка газонов от опавших листьев и мусора вручную</t>
  </si>
  <si>
    <t>СН-2012.5 Выпуск № 5 (в текущих ценах по состоянию на 01.10.2025 г.). 5.4-1201-3-1/1</t>
  </si>
  <si>
    <t>28</t>
  </si>
  <si>
    <t>5.4-1201-3-3/1</t>
  </si>
  <si>
    <t>Уборка опавшей листвы в мешки с погрузкой (8 458,1*0,005)</t>
  </si>
  <si>
    <t>СН-2012.5 Выпуск № 5 (в текущих ценах по состоянию на 01.10.2025 г.). 5.4-1201-3-3/1</t>
  </si>
  <si>
    <t>29</t>
  </si>
  <si>
    <t>5.4-1201-1-1/1</t>
  </si>
  <si>
    <t>Сбор случайного мусора по территории</t>
  </si>
  <si>
    <t>СН-2012.5 Выпуск № 5 (в текущих ценах по состоянию на 01.10.2025 г.). 5.4-1201-1-1/1</t>
  </si>
  <si>
    <t>)*199</t>
  </si>
  <si>
    <t>30</t>
  </si>
  <si>
    <t>5.4-3201-7-2/1</t>
  </si>
  <si>
    <t>Выкашивание газонов газонокосилкой</t>
  </si>
  <si>
    <t>СН-2012.5 Выпуск № 5 (в текущих ценах по состоянию на 01.10.2025 г.). 5.4-3201-7-2/1</t>
  </si>
  <si>
    <t>5.4-3405-7-1/1</t>
  </si>
  <si>
    <t>Полив зеленых насаждений из шланга поливомоечной машины</t>
  </si>
  <si>
    <t>СН-2012.5 Выпуск № 5 (в текущих ценах по состоянию на 01.10.2025 г.). 5.4-3405-7-1/1</t>
  </si>
  <si>
    <t>31</t>
  </si>
  <si>
    <t>5.4-3405-22-1/1</t>
  </si>
  <si>
    <t>Внесение минеральных удобрений - равномерное внесение в почву сухих минеральных удобрений (без стоимости материалов) (50%)</t>
  </si>
  <si>
    <t>СН-2012.5 Выпуск № 5 (в текущих ценах по состоянию на 01.10.2025 г.). 5.4-3405-22-1/1</t>
  </si>
  <si>
    <t>31,1</t>
  </si>
  <si>
    <t>21.4-4-17</t>
  </si>
  <si>
    <t>Удобрения комплексные минеральные для газонов</t>
  </si>
  <si>
    <t>кг</t>
  </si>
  <si>
    <t>СН-2012.21 Выпуск № 5 (в текущих ценах по состоянию на 01.10.2025 г.). 21.4-4-17</t>
  </si>
  <si>
    <t>32</t>
  </si>
  <si>
    <t>5.4-3405-16-1/1</t>
  </si>
  <si>
    <t>Уход за кустарниками одиночными и в группах - вырезка сухих сучьев и мелкой суши в первые 1-3 года</t>
  </si>
  <si>
    <t>100 кустов</t>
  </si>
  <si>
    <t>СН-2012.5 Выпуск № 5 (в текущих ценах по состоянию на 01.10.2025 г.). 5.4-3405-16-1/1</t>
  </si>
  <si>
    <t>33</t>
  </si>
  <si>
    <t>Полив зеленых насаждений из шланга поливомоечной машины (20 л на 1 м2)</t>
  </si>
  <si>
    <t>33,1</t>
  </si>
  <si>
    <t>34</t>
  </si>
  <si>
    <t>Полив зеленых насаждений из шланга поливомоечной машины (5 л на 1 м2)</t>
  </si>
  <si>
    <t>34,1</t>
  </si>
  <si>
    <t>35</t>
  </si>
  <si>
    <t>5.4-3405-12-2/1</t>
  </si>
  <si>
    <t>Прополка цветников с применением полотиков</t>
  </si>
  <si>
    <t>СН-2012.5 Выпуск № 5 (в текущих ценах по состоянию на 01.10.2025 г.). 5.4-3405-12-2/1</t>
  </si>
  <si>
    <t>)*6</t>
  </si>
  <si>
    <t>36</t>
  </si>
  <si>
    <t>5.4-3405-19-1/1</t>
  </si>
  <si>
    <t>Обрезка стеблей отцветших цветочных растений и относ их за пределы цветника</t>
  </si>
  <si>
    <t>СН-2012.5 Выпуск № 5 (в текущих ценах по состоянию на 01.10.2025 г.). 5.4-3405-19-1/1</t>
  </si>
  <si>
    <t>37</t>
  </si>
  <si>
    <t>5.4-3405-24-1/1</t>
  </si>
  <si>
    <t>Опрыскивание растений из ранцевого опрыскивателя комплексным органическим жидким многофункциональным удобрением на основе вермикомпоста (без стоимости удобрения)</t>
  </si>
  <si>
    <t>СН-2012.5 Выпуск № 5 (в текущих ценах по состоянию на 01.10.2025 г.). 5.4-3405-24-1/1</t>
  </si>
  <si>
    <t>)*2</t>
  </si>
  <si>
    <t>37,1</t>
  </si>
  <si>
    <t>21.4-4-31</t>
  </si>
  <si>
    <t>Удобрение - биостимулятор, органическое жидкое, антистрессовое, для некорневой подкормки, типа Текамин Макс (N 7%)</t>
  </si>
  <si>
    <t>л</t>
  </si>
  <si>
    <t>СН-2012.21 Выпуск № 5 (в текущих ценах по состоянию на 01.10.2025 г.). 21.4-4-31</t>
  </si>
  <si>
    <t>38</t>
  </si>
  <si>
    <t>Полив зеленых насаждений из шланга поливомоечной машины (40 л на 1 м2)</t>
  </si>
  <si>
    <t>38,1</t>
  </si>
  <si>
    <t>НДС 20%</t>
  </si>
  <si>
    <t>Итого с НДС</t>
  </si>
  <si>
    <t>и1</t>
  </si>
  <si>
    <t>Итого</t>
  </si>
  <si>
    <t>и2</t>
  </si>
  <si>
    <t>и3</t>
  </si>
  <si>
    <t>Уровень цен на 01.10.2025</t>
  </si>
  <si>
    <t>_OBSM_</t>
  </si>
  <si>
    <t>22.1-17-199</t>
  </si>
  <si>
    <t>СН-2012.22 Выпуск № 5 (в текущих ценах по состоянию на 01.10.2025 г.). 22.1-17-199</t>
  </si>
  <si>
    <t>Снегоочистители на базе мини-погрузчика грузоподъемностью до 1 т</t>
  </si>
  <si>
    <t>маш.-ч</t>
  </si>
  <si>
    <t>9999990008</t>
  </si>
  <si>
    <t>Трудозатраты рабочих</t>
  </si>
  <si>
    <t>чел.-ч.</t>
  </si>
  <si>
    <t>22.1-17-200</t>
  </si>
  <si>
    <t>СН-2012.22 Выпуск № 5 (в текущих ценах по состоянию на 01.10.2025 г.). 22.1-17-200</t>
  </si>
  <si>
    <t>Подметально-уборочные машины на базе мини-погрузчика грузоподъемностью до 1 т</t>
  </si>
  <si>
    <t>21.1-25-991</t>
  </si>
  <si>
    <t>СН-2012.21 Выпуск № 5 (в текущих ценах по состоянию на 01.10.2025 г.). 21.1-25-991</t>
  </si>
  <si>
    <t>Композиция (твердый многокомпонентный реагент противогололедный) на основе хлорида кальция и хлорида натрия (ХКНтв.), эффективность до -25°C</t>
  </si>
  <si>
    <t>22.1-17-198</t>
  </si>
  <si>
    <t>СН-2012.22 Выпуск № 5 (в текущих ценах по состоянию на 01.10.2025 г.). 22.1-17-198</t>
  </si>
  <si>
    <t>Разбрасыватели противогололедных материалов на базе мини-погрузчика грузоподъемностью до 1 т</t>
  </si>
  <si>
    <t>22.1-4-91</t>
  </si>
  <si>
    <t>СН-2012.22 Выпуск № 5 (в текущих ценах по состоянию на 01.10.2025 г.). 22.1-4-91</t>
  </si>
  <si>
    <t>Мини-погрузчики многофункциональные, грузоподъемность до 1 т</t>
  </si>
  <si>
    <t>21.1-25-636</t>
  </si>
  <si>
    <t>СН-2012.21 Выпуск № 5 (в текущих ценах по состоянию на 01.10.2025 г.). 21.1-25-636</t>
  </si>
  <si>
    <t>Пакеты ПНД для мусора, объем пакета 60 л</t>
  </si>
  <si>
    <t>шт.</t>
  </si>
  <si>
    <t>21.1-24-31</t>
  </si>
  <si>
    <t>СН-2012.21 Выпуск № 5 (в текущих ценах по состоянию на 01.10.2025 г.). 21.1-24-31</t>
  </si>
  <si>
    <t>Средство моющее концентрированное для очистки от комплексных и атмосферных загрязнений, нефтепродуктов, экологически безопасное, биоразлагаемое, типа "Транс-пол"</t>
  </si>
  <si>
    <t>21.1-24-14</t>
  </si>
  <si>
    <t>СН-2012.21 Выпуск № 5 (в текущих ценах по состоянию на 01.10.2025 г.). 21.1-24-14</t>
  </si>
  <si>
    <t>Средство моющее</t>
  </si>
  <si>
    <t>21.1-24-30</t>
  </si>
  <si>
    <t>СН-2012.21 Выпуск № 5 (в текущих ценах по состоянию на 01.10.2025 г.). 21.1-24-30</t>
  </si>
  <si>
    <t>Средство дезинфицирующее концентрированное антимикробное, высокоэффективное, типа "Сепотосан-Т"</t>
  </si>
  <si>
    <t>22.1-11-72</t>
  </si>
  <si>
    <t>СН-2012.22 Выпуск № 5 (в текущих ценах по состоянию на 01.10.2025 г.). 22.1-11-72</t>
  </si>
  <si>
    <t>Насосы высокого давления типа "Керхер"</t>
  </si>
  <si>
    <t>22.1-17-202</t>
  </si>
  <si>
    <t>СН-2012.22 Выпуск № 5 (в текущих ценах по состоянию на 01.10.2025 г.). 22.1-17-202</t>
  </si>
  <si>
    <t>Тракторы пневмоколесные с цистерной для воды, вместимость до 3,5 м3</t>
  </si>
  <si>
    <t>22.1-17-201</t>
  </si>
  <si>
    <t>СН-2012.22 Выпуск № 5 (в текущих ценах по состоянию на 01.10.2025 г.). 22.1-17-201</t>
  </si>
  <si>
    <t>Пылесосы (воздуходувки) садовые, объем подачи воздуха до 800 м3/ч</t>
  </si>
  <si>
    <t>22.1-18-7</t>
  </si>
  <si>
    <t>СН-2012.22 Выпуск № 5 (в текущих ценах по состоянию на 01.10.2025 г.). 22.1-18-7</t>
  </si>
  <si>
    <t>Автомобили грузовые бортовые, грузоподъемность до 5 т</t>
  </si>
  <si>
    <t>21.1-25-637</t>
  </si>
  <si>
    <t>СН-2012.21 Выпуск № 5 (в текущих ценах по состоянию на 01.10.2025 г.). 21.1-25-637</t>
  </si>
  <si>
    <t>Пакеты ПНД для мусора, объем пакета 120 л</t>
  </si>
  <si>
    <t>22.1-17-36</t>
  </si>
  <si>
    <t>СН-2012.22 Выпуск № 5 (в текущих ценах по состоянию на 01.10.2025 г.). 22.1-17-36</t>
  </si>
  <si>
    <t>Косилки моторные</t>
  </si>
  <si>
    <t>22.1-5-18</t>
  </si>
  <si>
    <t>СН-2012.22 Выпуск № 5 (в текущих ценах по состоянию на 01.10.2025 г.). 22.1-5-18</t>
  </si>
  <si>
    <t>Поливомоечные машины, емкость цистерны более 5000 л</t>
  </si>
  <si>
    <t>22.1-17-230</t>
  </si>
  <si>
    <t>СН-2012.22 Выпуск № 5 (в текущих ценах по состоянию на 01.10.2025 г.). 22.1-17-230</t>
  </si>
  <si>
    <t>Опрыскиватели бензиновые ранцевые, емкость 14 л, производительность до 2,64 л/мин, мощность 2,9 кВт</t>
  </si>
  <si>
    <t>2189010000</t>
  </si>
  <si>
    <t>Удобрения минеральные сухие</t>
  </si>
  <si>
    <t>2189013000</t>
  </si>
  <si>
    <t>Удобрение комплексное органическое жидкое на основе вермикомпоста</t>
  </si>
  <si>
    <t>"СОГЛАСОВАНО"</t>
  </si>
  <si>
    <t>"УТВЕРЖДАЮ"</t>
  </si>
  <si>
    <t>Форма № 1а (глава 1-5)</t>
  </si>
  <si>
    <t>"_____"________________ 2025 г.</t>
  </si>
  <si>
    <t>(наименование объекта)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</si>
  <si>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</si>
  <si>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</si>
  <si>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</si>
  <si>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</si>
  <si>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</si>
  <si>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</si>
  <si>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</si>
  <si>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</si>
  <si>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</si>
  <si>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</si>
  <si>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стоимостного норматива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</si>
  <si>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</si>
  <si>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</si>
  <si>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</si>
  <si>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</si>
  <si>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</si>
  <si>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</si>
  <si>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</si>
  <si>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</si>
  <si>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</si>
  <si>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 xml:space="preserve">ЗТР, всего чел.-час
</t>
  </si>
  <si>
    <t xml:space="preserve">Ст-ть ед. с начислен.
</t>
  </si>
  <si>
    <t>Составлен(а) в уровне текущих (прогнозных) цен на IV квартал 2025 года</t>
  </si>
  <si>
    <t>ЭМ</t>
  </si>
  <si>
    <t>в т.ч. ЗПМ</t>
  </si>
  <si>
    <t>НР и НП от ЗПМ</t>
  </si>
  <si>
    <t>%</t>
  </si>
  <si>
    <t>ЗП</t>
  </si>
  <si>
    <t>НР от ЗП</t>
  </si>
  <si>
    <t>НП от ЗП</t>
  </si>
  <si>
    <t>ЗТР</t>
  </si>
  <si>
    <t>чел-ч</t>
  </si>
  <si>
    <t>МР</t>
  </si>
  <si>
    <t>к нр )*111</t>
  </si>
  <si>
    <t>к нр )*171</t>
  </si>
  <si>
    <t>к нр )*10</t>
  </si>
  <si>
    <t>к нр )*3</t>
  </si>
  <si>
    <t>к нр )*20</t>
  </si>
  <si>
    <t>к нр )*2</t>
  </si>
  <si>
    <t xml:space="preserve">Составил   </t>
  </si>
  <si>
    <t>[должность,подпись(инициалы,фамилия)]</t>
  </si>
  <si>
    <t xml:space="preserve">Проверил   </t>
  </si>
  <si>
    <t>___________________________</t>
  </si>
  <si>
    <t>" ___ " ___________ 20 ___ г.</t>
  </si>
  <si>
    <t>№ п/п</t>
  </si>
  <si>
    <t>№ в ЛСР</t>
  </si>
  <si>
    <t>Количество</t>
  </si>
  <si>
    <t>Примечание</t>
  </si>
  <si>
    <t>Главный инженер проекта _________________</t>
  </si>
  <si>
    <t>Составил _________________</t>
  </si>
  <si>
    <t>Подраздел: ЗИМНЯЯ УБОРКА</t>
  </si>
  <si>
    <t>Подраздел: ЛЕТНЯЯ УБОРКА</t>
  </si>
  <si>
    <t xml:space="preserve">Подраздел: УХОД ЗА ЗЕЛЕНЫМИ НАСАЖДЕНИЯМИ </t>
  </si>
  <si>
    <t>НДС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</si>
</sst>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6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164" fontId="9" fillId="0" borderId="0" xfId="0" applyNumberFormat="1" applyFont="1"/>
    <xf numFmtId="1" fontId="9" fillId="0" borderId="0" xfId="0" applyNumberFormat="1" applyFont="1"/>
    <xf numFmtId="0" fontId="14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165" fontId="9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5" fontId="0" fillId="0" borderId="0" xfId="0" applyNumberFormat="1"/>
    <xf numFmtId="0" fontId="15" fillId="0" borderId="0" xfId="0" applyFont="1" applyAlignment="1">
      <alignment horizontal="right"/>
    </xf>
    <xf numFmtId="0" fontId="0" fillId="0" borderId="6" xfId="0" applyBorder="1"/>
    <xf numFmtId="165" fontId="15" fillId="0" borderId="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 wrapText="1"/>
    </xf>
    <xf numFmtId="0" fontId="7" fillId="0" borderId="0" xfId="0" applyFont="1" applyAlignment="1">
      <alignment vertical="top"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9" fillId="0" borderId="1" xfId="0" applyFont="1" applyBorder="1"/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65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 wrapText="1"/>
    </xf>
    <xf numFmtId="0" fontId="0" fillId="0" borderId="0" xfId="0"/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65" fontId="15" fillId="0" borderId="6" xfId="0" applyNumberFormat="1" applyFont="1" applyBorder="1" applyAlignment="1">
      <alignment horizontal="right"/>
    </xf>
    <xf numFmtId="165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 wrapText="1"/>
    </xf>
    <xf numFmtId="0" fontId="9" fillId="0" borderId="0" xfId="0" applyFont="1" applyAlignment="1">
      <alignment horizontal="right" vertical="center"/>
    </xf>
    <xf numFmtId="0" fontId="10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99F4C-4D51-4ADC-AAEF-10D6165DB74D}">
  <sheetPr>
    <pageSetUpPr fitToPage="1"/>
  </sheetPr>
  <dimension ref="A1:AF356"/>
  <sheetViews>
    <sheetView tabSelected="1" zoomScaleNormal="100" workbookViewId="0">
      <selection activeCell="G377" sqref="G377"/>
    </sheetView>
  </sheetViews>
  <sheetFormatPr defaultRowHeight="12.5" x14ac:dyDescent="0.25"/>
  <cols>
    <col min="1" max="1" width="5.6328125" customWidth="1"/>
    <col min="2" max="2" width="11.6328125" customWidth="1"/>
    <col min="3" max="3" width="40.6328125" customWidth="1"/>
    <col min="4" max="6" width="11.6328125" customWidth="1"/>
    <col min="7" max="9" width="12.6328125" customWidth="1"/>
    <col min="10" max="10" width="19.7265625" bestFit="1" customWidth="1"/>
    <col min="11" max="11" width="12.6328125" customWidth="1"/>
    <col min="15" max="31" width="0" hidden="1" customWidth="1"/>
    <col min="32" max="32" width="116.6328125" hidden="1" customWidth="1"/>
    <col min="33" max="36" width="0" hidden="1" customWidth="1"/>
  </cols>
  <sheetData>
    <row r="1" spans="1:11" x14ac:dyDescent="0.25">
      <c r="A1" s="7" t="str">
        <f>CONCATENATE(Source!B1, "     СН-2012 (© ГБУ «Аналитический центр», ", "2025", ")")</f>
        <v>Smeta.RU Flash  (495) 974-1589     СН-2012 (© ГБУ «Аналитический центр», 2025)</v>
      </c>
    </row>
    <row r="2" spans="1:11" ht="14" x14ac:dyDescent="0.3">
      <c r="A2" s="8"/>
      <c r="B2" s="8"/>
      <c r="C2" s="8"/>
      <c r="D2" s="8"/>
      <c r="E2" s="8"/>
      <c r="F2" s="8"/>
      <c r="G2" s="8"/>
      <c r="H2" s="8"/>
      <c r="I2" s="8"/>
      <c r="J2" s="39" t="s">
        <v>325</v>
      </c>
      <c r="K2" s="39"/>
    </row>
    <row r="3" spans="1:11" ht="16.5" x14ac:dyDescent="0.35">
      <c r="A3" s="10"/>
      <c r="B3" s="44" t="s">
        <v>323</v>
      </c>
      <c r="C3" s="44"/>
      <c r="D3" s="44"/>
      <c r="E3" s="44"/>
      <c r="F3" s="9"/>
      <c r="G3" s="44" t="s">
        <v>324</v>
      </c>
      <c r="H3" s="44"/>
      <c r="I3" s="44"/>
      <c r="J3" s="44"/>
      <c r="K3" s="44"/>
    </row>
    <row r="4" spans="1:11" ht="14" x14ac:dyDescent="0.3">
      <c r="A4" s="9"/>
      <c r="B4" s="45"/>
      <c r="C4" s="45"/>
      <c r="D4" s="45"/>
      <c r="E4" s="45"/>
      <c r="F4" s="9"/>
      <c r="G4" s="45"/>
      <c r="H4" s="45"/>
      <c r="I4" s="45"/>
      <c r="J4" s="45"/>
      <c r="K4" s="45"/>
    </row>
    <row r="5" spans="1:11" ht="14" x14ac:dyDescent="0.3">
      <c r="A5" s="9"/>
      <c r="B5" s="9"/>
      <c r="C5" s="11"/>
      <c r="D5" s="11"/>
      <c r="E5" s="11"/>
      <c r="F5" s="9"/>
      <c r="G5" s="11"/>
      <c r="H5" s="11"/>
      <c r="I5" s="11"/>
      <c r="J5" s="11"/>
      <c r="K5" s="11"/>
    </row>
    <row r="6" spans="1:11" ht="14" x14ac:dyDescent="0.3">
      <c r="A6" s="11"/>
      <c r="B6" s="45" t="str">
        <f>CONCATENATE("______________________ ", IF(Source!AL12&lt;&gt;"", Source!AL12, ""))</f>
        <v xml:space="preserve">______________________ </v>
      </c>
      <c r="C6" s="45"/>
      <c r="D6" s="45"/>
      <c r="E6" s="45"/>
      <c r="F6" s="9"/>
      <c r="G6" s="45" t="str">
        <f>CONCATENATE("______________________ ", IF(Source!AH12&lt;&gt;"", Source!AH12, ""))</f>
        <v xml:space="preserve">______________________ </v>
      </c>
      <c r="H6" s="45"/>
      <c r="I6" s="45"/>
      <c r="J6" s="45"/>
      <c r="K6" s="45"/>
    </row>
    <row r="7" spans="1:11" ht="14" x14ac:dyDescent="0.3">
      <c r="A7" s="12"/>
      <c r="B7" s="38" t="s">
        <v>326</v>
      </c>
      <c r="C7" s="38"/>
      <c r="D7" s="38"/>
      <c r="E7" s="38"/>
      <c r="F7" s="9"/>
      <c r="G7" s="38" t="s">
        <v>326</v>
      </c>
      <c r="H7" s="38"/>
      <c r="I7" s="38"/>
      <c r="J7" s="38"/>
      <c r="K7" s="38"/>
    </row>
    <row r="9" spans="1:11" ht="14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ht="18" hidden="1" x14ac:dyDescent="0.4">
      <c r="A10" s="40" t="str">
        <f>IF(Source!G12&lt;&gt;"Новый объект", Source!G12, "")</f>
        <v>Зона 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hidden="1" x14ac:dyDescent="0.25">
      <c r="A11" s="41" t="s">
        <v>327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</row>
    <row r="12" spans="1:11" ht="14" hidden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5.5" x14ac:dyDescent="0.35">
      <c r="A13" s="42" t="str">
        <f>CONCATENATE( "ЛОКАЛЬНАЯ СМЕТА № ",IF(Source!F12&lt;&gt;"Новый объект", Source!F12, ""))</f>
        <v xml:space="preserve">ЛОКАЛЬНАЯ СМЕТА № 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1" x14ac:dyDescent="0.25">
      <c r="A14" s="47" t="s">
        <v>328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ht="18" x14ac:dyDescent="0.4">
      <c r="A16" s="40" t="str">
        <f>IF(Source!G12&lt;&gt;"Новый объект", Source!G12, "")</f>
        <v>Зона 2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7" t="s">
        <v>329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ht="14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 ht="14" x14ac:dyDescent="0.3">
      <c r="A19" s="38" t="str">
        <f>CONCATENATE( "Основание: чертежи № ", Source!J12)</f>
        <v xml:space="preserve">Основание: чертежи № 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1" ht="14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ht="14" x14ac:dyDescent="0.3">
      <c r="A21" s="9"/>
      <c r="B21" s="9"/>
      <c r="C21" s="9"/>
      <c r="D21" s="9"/>
      <c r="E21" s="9"/>
      <c r="F21" s="45" t="s">
        <v>330</v>
      </c>
      <c r="G21" s="45"/>
      <c r="H21" s="45"/>
      <c r="I21" s="46">
        <f>I22+I23+I24+I25</f>
        <v>73558.009999999995</v>
      </c>
      <c r="J21" s="39"/>
      <c r="K21" s="9" t="s">
        <v>331</v>
      </c>
    </row>
    <row r="22" spans="1:11" ht="14" hidden="1" x14ac:dyDescent="0.3">
      <c r="A22" s="9"/>
      <c r="B22" s="9"/>
      <c r="C22" s="9"/>
      <c r="D22" s="9"/>
      <c r="E22" s="9"/>
      <c r="F22" s="45" t="s">
        <v>332</v>
      </c>
      <c r="G22" s="45"/>
      <c r="H22" s="45"/>
      <c r="I22" s="46">
        <f>ROUND((Source!F263)/1000, 2)</f>
        <v>0</v>
      </c>
      <c r="J22" s="39"/>
      <c r="K22" s="9" t="s">
        <v>331</v>
      </c>
    </row>
    <row r="23" spans="1:11" ht="14" hidden="1" x14ac:dyDescent="0.3">
      <c r="A23" s="9"/>
      <c r="B23" s="9"/>
      <c r="C23" s="9"/>
      <c r="D23" s="9"/>
      <c r="E23" s="9"/>
      <c r="F23" s="45" t="s">
        <v>333</v>
      </c>
      <c r="G23" s="45"/>
      <c r="H23" s="45"/>
      <c r="I23" s="46">
        <f>ROUND((Source!F264)/1000, 2)</f>
        <v>0</v>
      </c>
      <c r="J23" s="39"/>
      <c r="K23" s="9" t="s">
        <v>331</v>
      </c>
    </row>
    <row r="24" spans="1:11" ht="14" hidden="1" x14ac:dyDescent="0.3">
      <c r="A24" s="9"/>
      <c r="B24" s="9"/>
      <c r="C24" s="9"/>
      <c r="D24" s="9"/>
      <c r="E24" s="9"/>
      <c r="F24" s="45" t="s">
        <v>334</v>
      </c>
      <c r="G24" s="45"/>
      <c r="H24" s="45"/>
      <c r="I24" s="46">
        <f>ROUND((Source!F255)/1000, 2)</f>
        <v>0</v>
      </c>
      <c r="J24" s="39"/>
      <c r="K24" s="9" t="s">
        <v>331</v>
      </c>
    </row>
    <row r="25" spans="1:11" ht="14" hidden="1" x14ac:dyDescent="0.3">
      <c r="A25" s="9"/>
      <c r="B25" s="9"/>
      <c r="C25" s="9"/>
      <c r="D25" s="9"/>
      <c r="E25" s="9"/>
      <c r="F25" s="45" t="s">
        <v>335</v>
      </c>
      <c r="G25" s="45"/>
      <c r="H25" s="45"/>
      <c r="I25" s="46">
        <f>ROUND((Source!F265+Source!F266)/1000, 2)</f>
        <v>73558.009999999995</v>
      </c>
      <c r="J25" s="39"/>
      <c r="K25" s="9" t="s">
        <v>331</v>
      </c>
    </row>
    <row r="26" spans="1:11" ht="14" x14ac:dyDescent="0.3">
      <c r="A26" s="9"/>
      <c r="B26" s="9"/>
      <c r="C26" s="9"/>
      <c r="D26" s="9"/>
      <c r="E26" s="9"/>
      <c r="F26" s="45" t="s">
        <v>336</v>
      </c>
      <c r="G26" s="45"/>
      <c r="H26" s="45"/>
      <c r="I26" s="46">
        <f>(Source!F261+ Source!F260)/1000</f>
        <v>28288.478030000002</v>
      </c>
      <c r="J26" s="39"/>
      <c r="K26" s="9" t="s">
        <v>331</v>
      </c>
    </row>
    <row r="27" spans="1:11" ht="14" x14ac:dyDescent="0.3">
      <c r="A27" s="9" t="s">
        <v>350</v>
      </c>
      <c r="B27" s="9"/>
      <c r="C27" s="9"/>
      <c r="D27" s="14"/>
      <c r="E27" s="15"/>
      <c r="F27" s="9"/>
      <c r="G27" s="9"/>
      <c r="H27" s="9"/>
      <c r="I27" s="9"/>
      <c r="J27" s="9"/>
      <c r="K27" s="9"/>
    </row>
    <row r="28" spans="1:11" ht="14.5" x14ac:dyDescent="0.25">
      <c r="A28" s="49" t="s">
        <v>337</v>
      </c>
      <c r="B28" s="49" t="s">
        <v>338</v>
      </c>
      <c r="C28" s="49" t="s">
        <v>339</v>
      </c>
      <c r="D28" s="49" t="s">
        <v>340</v>
      </c>
      <c r="E28" s="49" t="s">
        <v>341</v>
      </c>
      <c r="F28" s="49" t="s">
        <v>342</v>
      </c>
      <c r="G28" s="49" t="s">
        <v>343</v>
      </c>
      <c r="H28" s="49" t="s">
        <v>344</v>
      </c>
      <c r="I28" s="49" t="s">
        <v>345</v>
      </c>
      <c r="J28" s="49" t="s">
        <v>346</v>
      </c>
      <c r="K28" s="16" t="s">
        <v>347</v>
      </c>
    </row>
    <row r="29" spans="1:11" ht="42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17" t="s">
        <v>348</v>
      </c>
    </row>
    <row r="30" spans="1:11" ht="42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17" t="s">
        <v>349</v>
      </c>
    </row>
    <row r="31" spans="1:11" ht="14" x14ac:dyDescent="0.25">
      <c r="A31" s="17">
        <v>1</v>
      </c>
      <c r="B31" s="17">
        <v>2</v>
      </c>
      <c r="C31" s="17">
        <v>3</v>
      </c>
      <c r="D31" s="17">
        <v>4</v>
      </c>
      <c r="E31" s="17">
        <v>5</v>
      </c>
      <c r="F31" s="17">
        <v>6</v>
      </c>
      <c r="G31" s="17">
        <v>7</v>
      </c>
      <c r="H31" s="17">
        <v>8</v>
      </c>
      <c r="I31" s="17">
        <v>9</v>
      </c>
      <c r="J31" s="17">
        <v>10</v>
      </c>
      <c r="K31" s="17">
        <v>11</v>
      </c>
    </row>
    <row r="33" spans="1:22" ht="16.5" x14ac:dyDescent="0.35">
      <c r="A33" s="51" t="str">
        <f>CONCATENATE("Локальная смета: ",IF(Source!G20&lt;&gt;"Новая локальная смета", Source!G20, ""))</f>
        <v>Локальная смета: Локальная смета: Зона №2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</row>
    <row r="35" spans="1:22" ht="16.5" x14ac:dyDescent="0.35">
      <c r="A35" s="51" t="str">
        <f>CONCATENATE("Раздел: ",IF(Source!G24&lt;&gt;"Новый раздел", Source!G24, ""))</f>
        <v>Раздел: Раздел: Основная зона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</row>
    <row r="37" spans="1:22" ht="16.5" x14ac:dyDescent="0.35">
      <c r="A37" s="51" t="str">
        <f>CONCATENATE("Подраздел: ",IF(Source!G28&lt;&gt;"Новый подраздел", Source!G28, ""))</f>
        <v>Подраздел: Подраздел: ЗИМНЯЯ УБОРКА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</row>
    <row r="38" spans="1:22" ht="28" x14ac:dyDescent="0.35">
      <c r="A38" s="18">
        <v>1</v>
      </c>
      <c r="B38" s="18" t="str">
        <f>Source!F32</f>
        <v>5.3-1102-12-1/1</v>
      </c>
      <c r="C38" s="18" t="str">
        <f>Source!G32</f>
        <v>Уборка снега средствами малой механизации</v>
      </c>
      <c r="D38" s="19" t="str">
        <f>Source!H32</f>
        <v>1000 м2</v>
      </c>
      <c r="E38" s="8">
        <f>Source!I32</f>
        <v>65.464799999999997</v>
      </c>
      <c r="F38" s="21"/>
      <c r="G38" s="20"/>
      <c r="H38" s="8"/>
      <c r="I38" s="8"/>
      <c r="J38" s="21"/>
      <c r="K38" s="21"/>
      <c r="Q38">
        <f>ROUND((Source!BZ32/100)*ROUND((Source!AF32*Source!AV32)*Source!I32, 2), 2)</f>
        <v>0</v>
      </c>
      <c r="R38">
        <f>Source!X32</f>
        <v>0</v>
      </c>
      <c r="S38">
        <f>ROUND((Source!CA32/100)*ROUND((Source!AF32*Source!AV32)*Source!I32, 2), 2)</f>
        <v>0</v>
      </c>
      <c r="T38">
        <f>Source!Y32</f>
        <v>0</v>
      </c>
      <c r="U38">
        <f>ROUND((175/100)*ROUND((Source!AE32*Source!AV32)*Source!I32, 2), 2)</f>
        <v>2750317.82</v>
      </c>
      <c r="V38">
        <f>ROUND((108/100)*ROUND(Source!CS32*Source!I32, 2), 2)</f>
        <v>1697338.99</v>
      </c>
    </row>
    <row r="39" spans="1:22" ht="14.5" x14ac:dyDescent="0.35">
      <c r="A39" s="18"/>
      <c r="B39" s="18"/>
      <c r="C39" s="18" t="s">
        <v>351</v>
      </c>
      <c r="D39" s="19"/>
      <c r="E39" s="8"/>
      <c r="F39" s="21">
        <f>Source!AM32</f>
        <v>1257.99</v>
      </c>
      <c r="G39" s="20" t="str">
        <f>Source!DE32</f>
        <v>)*55</v>
      </c>
      <c r="H39" s="8">
        <f>Source!AV32</f>
        <v>1</v>
      </c>
      <c r="I39" s="8">
        <f>IF(Source!BB32&lt;&gt; 0, Source!BB32, 1)</f>
        <v>1</v>
      </c>
      <c r="J39" s="21">
        <f>Source!Q32</f>
        <v>4529473.51</v>
      </c>
      <c r="K39" s="21"/>
    </row>
    <row r="40" spans="1:22" ht="14.5" x14ac:dyDescent="0.35">
      <c r="A40" s="18"/>
      <c r="B40" s="18"/>
      <c r="C40" s="18" t="s">
        <v>352</v>
      </c>
      <c r="D40" s="19"/>
      <c r="E40" s="8"/>
      <c r="F40" s="21">
        <f>Source!AN32</f>
        <v>436.49</v>
      </c>
      <c r="G40" s="20" t="str">
        <f>Source!DF32</f>
        <v>)*55</v>
      </c>
      <c r="H40" s="8">
        <f>Source!AV32</f>
        <v>1</v>
      </c>
      <c r="I40" s="8">
        <f>IF(Source!BS32&lt;&gt; 0, Source!BS32, 1)</f>
        <v>1</v>
      </c>
      <c r="J40" s="22">
        <f>Source!R32</f>
        <v>1571610.18</v>
      </c>
      <c r="K40" s="21"/>
    </row>
    <row r="41" spans="1:22" ht="14.5" x14ac:dyDescent="0.35">
      <c r="A41" s="18"/>
      <c r="B41" s="18"/>
      <c r="C41" s="18" t="s">
        <v>353</v>
      </c>
      <c r="D41" s="19" t="s">
        <v>354</v>
      </c>
      <c r="E41" s="8">
        <f>108</f>
        <v>108</v>
      </c>
      <c r="F41" s="21"/>
      <c r="G41" s="20"/>
      <c r="H41" s="8"/>
      <c r="I41" s="8"/>
      <c r="J41" s="21">
        <f>SUM(V38:V40)</f>
        <v>1697338.99</v>
      </c>
      <c r="K41" s="21"/>
    </row>
    <row r="42" spans="1:22" ht="14" x14ac:dyDescent="0.3">
      <c r="A42" s="25"/>
      <c r="B42" s="25"/>
      <c r="C42" s="25"/>
      <c r="D42" s="25"/>
      <c r="E42" s="25"/>
      <c r="F42" s="25"/>
      <c r="G42" s="25"/>
      <c r="H42" s="25"/>
      <c r="I42" s="52">
        <f>J39+J41</f>
        <v>6226812.5</v>
      </c>
      <c r="J42" s="52"/>
      <c r="K42" s="26">
        <f>IF(Source!I32&lt;&gt;0, ROUND(I42/Source!I32, 2), 0)</f>
        <v>95116.96</v>
      </c>
      <c r="P42" s="23">
        <f>I42</f>
        <v>6226812.5</v>
      </c>
    </row>
    <row r="43" spans="1:22" ht="28" x14ac:dyDescent="0.35">
      <c r="A43" s="18">
        <v>2</v>
      </c>
      <c r="B43" s="18" t="str">
        <f>Source!F33</f>
        <v>5.3-1102-8-1/1</v>
      </c>
      <c r="C43" s="18" t="str">
        <f>Source!G33</f>
        <v>Уборка свежевыпавшего снега вручную толщиной слоя до 10 см</v>
      </c>
      <c r="D43" s="19" t="str">
        <f>Source!H33</f>
        <v>100 м2</v>
      </c>
      <c r="E43" s="8">
        <f>Source!I33</f>
        <v>163.66200000000001</v>
      </c>
      <c r="F43" s="21"/>
      <c r="G43" s="20"/>
      <c r="H43" s="8"/>
      <c r="I43" s="8"/>
      <c r="J43" s="21"/>
      <c r="K43" s="21"/>
      <c r="Q43">
        <f>ROUND((Source!BZ33/100)*ROUND((Source!AF33*Source!AV33)*Source!I33, 2), 2)</f>
        <v>1855892.71</v>
      </c>
      <c r="R43">
        <f>Source!X33</f>
        <v>1855892.71</v>
      </c>
      <c r="S43">
        <f>ROUND((Source!CA33/100)*ROUND((Source!AF33*Source!AV33)*Source!I33, 2), 2)</f>
        <v>265127.53000000003</v>
      </c>
      <c r="T43">
        <f>Source!Y33</f>
        <v>265127.53000000003</v>
      </c>
      <c r="U43">
        <f>ROUND((175/100)*ROUND((Source!AE33*Source!AV33)*Source!I33, 2), 2)</f>
        <v>0</v>
      </c>
      <c r="V43">
        <f>ROUND((108/100)*ROUND(Source!CS33*Source!I33, 2), 2)</f>
        <v>0</v>
      </c>
    </row>
    <row r="44" spans="1:22" ht="14.5" x14ac:dyDescent="0.35">
      <c r="A44" s="18"/>
      <c r="B44" s="18"/>
      <c r="C44" s="18" t="s">
        <v>355</v>
      </c>
      <c r="D44" s="19"/>
      <c r="E44" s="8"/>
      <c r="F44" s="21">
        <f>Source!AO33</f>
        <v>294.54000000000002</v>
      </c>
      <c r="G44" s="20" t="str">
        <f>Source!DG33</f>
        <v>)*55</v>
      </c>
      <c r="H44" s="8">
        <f>Source!AV33</f>
        <v>1</v>
      </c>
      <c r="I44" s="8">
        <f>IF(Source!BA33&lt;&gt; 0, Source!BA33, 1)</f>
        <v>1</v>
      </c>
      <c r="J44" s="21">
        <f>Source!S33</f>
        <v>2651275.2999999998</v>
      </c>
      <c r="K44" s="21"/>
    </row>
    <row r="45" spans="1:22" ht="14.5" x14ac:dyDescent="0.35">
      <c r="A45" s="18"/>
      <c r="B45" s="18"/>
      <c r="C45" s="18" t="s">
        <v>356</v>
      </c>
      <c r="D45" s="19" t="s">
        <v>354</v>
      </c>
      <c r="E45" s="8">
        <f>Source!AT33</f>
        <v>70</v>
      </c>
      <c r="F45" s="21"/>
      <c r="G45" s="20"/>
      <c r="H45" s="8"/>
      <c r="I45" s="8"/>
      <c r="J45" s="21">
        <f>SUM(R43:R44)</f>
        <v>1855892.71</v>
      </c>
      <c r="K45" s="21"/>
    </row>
    <row r="46" spans="1:22" ht="14.5" x14ac:dyDescent="0.35">
      <c r="A46" s="18"/>
      <c r="B46" s="18"/>
      <c r="C46" s="18" t="s">
        <v>357</v>
      </c>
      <c r="D46" s="19" t="s">
        <v>354</v>
      </c>
      <c r="E46" s="8">
        <f>Source!AU33</f>
        <v>10</v>
      </c>
      <c r="F46" s="21"/>
      <c r="G46" s="20"/>
      <c r="H46" s="8"/>
      <c r="I46" s="8"/>
      <c r="J46" s="21">
        <f>SUM(T43:T45)</f>
        <v>265127.53000000003</v>
      </c>
      <c r="K46" s="21"/>
    </row>
    <row r="47" spans="1:22" ht="14.5" x14ac:dyDescent="0.35">
      <c r="A47" s="18"/>
      <c r="B47" s="18"/>
      <c r="C47" s="18" t="s">
        <v>358</v>
      </c>
      <c r="D47" s="19" t="s">
        <v>359</v>
      </c>
      <c r="E47" s="8">
        <f>Source!AQ33</f>
        <v>0.65</v>
      </c>
      <c r="F47" s="21"/>
      <c r="G47" s="20" t="str">
        <f>Source!DI33</f>
        <v>)*55</v>
      </c>
      <c r="H47" s="8">
        <f>Source!AV33</f>
        <v>1</v>
      </c>
      <c r="I47" s="8"/>
      <c r="J47" s="21"/>
      <c r="K47" s="21">
        <f>Source!U33</f>
        <v>5850.9165000000003</v>
      </c>
    </row>
    <row r="48" spans="1:22" ht="14" x14ac:dyDescent="0.3">
      <c r="A48" s="25"/>
      <c r="B48" s="25"/>
      <c r="C48" s="25"/>
      <c r="D48" s="25"/>
      <c r="E48" s="25"/>
      <c r="F48" s="25"/>
      <c r="G48" s="25"/>
      <c r="H48" s="25"/>
      <c r="I48" s="52">
        <f>J44+J45+J46</f>
        <v>4772295.54</v>
      </c>
      <c r="J48" s="52"/>
      <c r="K48" s="26">
        <f>IF(Source!I33&lt;&gt;0, ROUND(I48/Source!I33, 2), 0)</f>
        <v>29159.46</v>
      </c>
      <c r="P48" s="23">
        <f>I48</f>
        <v>4772295.54</v>
      </c>
    </row>
    <row r="49" spans="1:22" ht="42" x14ac:dyDescent="0.35">
      <c r="A49" s="18">
        <v>3</v>
      </c>
      <c r="B49" s="18" t="str">
        <f>Source!F34</f>
        <v>5.3-1101-15-1/1</v>
      </c>
      <c r="C49" s="18" t="str">
        <f>Source!G34</f>
        <v>Подметание тротуаров, придомовых и внутрибольничных проездов средствами малой механизации</v>
      </c>
      <c r="D49" s="19" t="str">
        <f>Source!H34</f>
        <v>1000 м2</v>
      </c>
      <c r="E49" s="8">
        <f>Source!I34</f>
        <v>65.464799999999997</v>
      </c>
      <c r="F49" s="21"/>
      <c r="G49" s="20"/>
      <c r="H49" s="8"/>
      <c r="I49" s="8"/>
      <c r="J49" s="21"/>
      <c r="K49" s="21"/>
      <c r="Q49">
        <f>ROUND((Source!BZ34/100)*ROUND((Source!AF34*Source!AV34)*Source!I34, 2), 2)</f>
        <v>0</v>
      </c>
      <c r="R49">
        <f>Source!X34</f>
        <v>0</v>
      </c>
      <c r="S49">
        <f>ROUND((Source!CA34/100)*ROUND((Source!AF34*Source!AV34)*Source!I34, 2), 2)</f>
        <v>0</v>
      </c>
      <c r="T49">
        <f>Source!Y34</f>
        <v>0</v>
      </c>
      <c r="U49">
        <f>ROUND((175/100)*ROUND((Source!AE34*Source!AV34)*Source!I34, 2), 2)</f>
        <v>2786829.17</v>
      </c>
      <c r="V49">
        <f>ROUND((108/100)*ROUND(Source!CS34*Source!I34, 2), 2)</f>
        <v>1719871.71</v>
      </c>
    </row>
    <row r="50" spans="1:22" ht="14.5" x14ac:dyDescent="0.35">
      <c r="A50" s="18"/>
      <c r="B50" s="18"/>
      <c r="C50" s="18" t="s">
        <v>351</v>
      </c>
      <c r="D50" s="19"/>
      <c r="E50" s="8"/>
      <c r="F50" s="21">
        <f>Source!AM34</f>
        <v>463.65</v>
      </c>
      <c r="G50" s="20" t="str">
        <f>Source!DE34</f>
        <v>)*111</v>
      </c>
      <c r="H50" s="8">
        <f>Source!AV34</f>
        <v>1</v>
      </c>
      <c r="I50" s="8">
        <f>IF(Source!BB34&lt;&gt; 0, Source!BB34, 1)</f>
        <v>1</v>
      </c>
      <c r="J50" s="21">
        <f>Source!Q34</f>
        <v>3369155.75</v>
      </c>
      <c r="K50" s="21"/>
    </row>
    <row r="51" spans="1:22" ht="14.5" x14ac:dyDescent="0.35">
      <c r="A51" s="18"/>
      <c r="B51" s="18"/>
      <c r="C51" s="18" t="s">
        <v>352</v>
      </c>
      <c r="D51" s="19"/>
      <c r="E51" s="8"/>
      <c r="F51" s="21">
        <f>Source!AN34</f>
        <v>219.15</v>
      </c>
      <c r="G51" s="20" t="str">
        <f>Source!DF34</f>
        <v>)*111</v>
      </c>
      <c r="H51" s="8">
        <f>Source!AV34</f>
        <v>1</v>
      </c>
      <c r="I51" s="8">
        <f>IF(Source!BS34&lt;&gt; 0, Source!BS34, 1)</f>
        <v>1</v>
      </c>
      <c r="J51" s="22">
        <f>Source!R34</f>
        <v>1592473.81</v>
      </c>
      <c r="K51" s="21"/>
    </row>
    <row r="52" spans="1:22" ht="14.5" x14ac:dyDescent="0.35">
      <c r="A52" s="18"/>
      <c r="B52" s="18"/>
      <c r="C52" s="18" t="s">
        <v>360</v>
      </c>
      <c r="D52" s="19"/>
      <c r="E52" s="8"/>
      <c r="F52" s="21">
        <f>Source!AL34</f>
        <v>10.96</v>
      </c>
      <c r="G52" s="20" t="str">
        <f>Source!DD34</f>
        <v>)*111</v>
      </c>
      <c r="H52" s="8">
        <f>Source!AW34</f>
        <v>1</v>
      </c>
      <c r="I52" s="8">
        <f>IF(Source!BC34&lt;&gt; 0, Source!BC34, 1)</f>
        <v>1</v>
      </c>
      <c r="J52" s="21">
        <f>Source!P34</f>
        <v>79641.86</v>
      </c>
      <c r="K52" s="21"/>
    </row>
    <row r="53" spans="1:22" ht="14.5" x14ac:dyDescent="0.35">
      <c r="A53" s="18" t="s">
        <v>36</v>
      </c>
      <c r="B53" s="18" t="str">
        <f>Source!F35</f>
        <v>21.1-25-13</v>
      </c>
      <c r="C53" s="18" t="str">
        <f>Source!G35</f>
        <v>Вода</v>
      </c>
      <c r="D53" s="19" t="str">
        <f>Source!H35</f>
        <v>м3</v>
      </c>
      <c r="E53" s="8">
        <f>Source!I35</f>
        <v>-1453.3185599999999</v>
      </c>
      <c r="F53" s="21">
        <f>Source!AK35</f>
        <v>54.81</v>
      </c>
      <c r="G53" s="27" t="s">
        <v>361</v>
      </c>
      <c r="H53" s="8">
        <f>Source!AW35</f>
        <v>1</v>
      </c>
      <c r="I53" s="8">
        <f>IF(Source!BC35&lt;&gt; 0, Source!BC35, 1)</f>
        <v>1</v>
      </c>
      <c r="J53" s="21">
        <f>Source!O35</f>
        <v>-79656.39</v>
      </c>
      <c r="K53" s="21"/>
      <c r="Q53">
        <f>ROUND((Source!BZ35/100)*ROUND((Source!AF35*Source!AV35)*Source!I35, 2), 2)</f>
        <v>0</v>
      </c>
      <c r="R53">
        <f>Source!X35</f>
        <v>0</v>
      </c>
      <c r="S53">
        <f>ROUND((Source!CA35/100)*ROUND((Source!AF35*Source!AV35)*Source!I35, 2), 2)</f>
        <v>0</v>
      </c>
      <c r="T53">
        <f>Source!Y35</f>
        <v>0</v>
      </c>
      <c r="U53">
        <f>ROUND((175/100)*ROUND((Source!AE35*Source!AV35)*Source!I35, 2), 2)</f>
        <v>0</v>
      </c>
      <c r="V53">
        <f>ROUND((108/100)*ROUND(Source!CS35*Source!I35, 2), 2)</f>
        <v>0</v>
      </c>
    </row>
    <row r="54" spans="1:22" ht="14.5" x14ac:dyDescent="0.35">
      <c r="A54" s="18"/>
      <c r="B54" s="18"/>
      <c r="C54" s="18" t="s">
        <v>353</v>
      </c>
      <c r="D54" s="19" t="s">
        <v>354</v>
      </c>
      <c r="E54" s="8">
        <f>108</f>
        <v>108</v>
      </c>
      <c r="F54" s="21"/>
      <c r="G54" s="20"/>
      <c r="H54" s="8"/>
      <c r="I54" s="8"/>
      <c r="J54" s="21">
        <f>SUM(V49:V53)</f>
        <v>1719871.71</v>
      </c>
      <c r="K54" s="21"/>
    </row>
    <row r="55" spans="1:22" ht="14" x14ac:dyDescent="0.3">
      <c r="A55" s="25"/>
      <c r="B55" s="25"/>
      <c r="C55" s="25"/>
      <c r="D55" s="25"/>
      <c r="E55" s="25"/>
      <c r="F55" s="25"/>
      <c r="G55" s="25"/>
      <c r="H55" s="25"/>
      <c r="I55" s="52">
        <f>J50+J52+J54+SUM(J53:J53)</f>
        <v>5089012.9300000006</v>
      </c>
      <c r="J55" s="52"/>
      <c r="K55" s="26">
        <f>IF(Source!I34&lt;&gt;0, ROUND(I55/Source!I34, 2), 0)</f>
        <v>77736.63</v>
      </c>
      <c r="P55" s="23">
        <f>I55</f>
        <v>5089012.9300000006</v>
      </c>
    </row>
    <row r="56" spans="1:22" ht="28" x14ac:dyDescent="0.35">
      <c r="A56" s="18">
        <v>4</v>
      </c>
      <c r="B56" s="18" t="str">
        <f>Source!F36</f>
        <v>5.3-1101-13-1/1</v>
      </c>
      <c r="C56" s="18" t="str">
        <f>Source!G36</f>
        <v>Подметание вручную дорожек и площадок с твердым покрытием</v>
      </c>
      <c r="D56" s="19" t="str">
        <f>Source!H36</f>
        <v>100 м2</v>
      </c>
      <c r="E56" s="8">
        <f>Source!I36</f>
        <v>163.66200000000001</v>
      </c>
      <c r="F56" s="21"/>
      <c r="G56" s="20"/>
      <c r="H56" s="8"/>
      <c r="I56" s="8"/>
      <c r="J56" s="21"/>
      <c r="K56" s="21"/>
      <c r="Q56">
        <f>ROUND((Source!BZ36/100)*ROUND((Source!AF36*Source!AV36)*Source!I36, 2), 2)</f>
        <v>806737.13</v>
      </c>
      <c r="R56">
        <f>Source!X36</f>
        <v>806737.13</v>
      </c>
      <c r="S56">
        <f>ROUND((Source!CA36/100)*ROUND((Source!AF36*Source!AV36)*Source!I36, 2), 2)</f>
        <v>115248.16</v>
      </c>
      <c r="T56">
        <f>Source!Y36</f>
        <v>115248.16</v>
      </c>
      <c r="U56">
        <f>ROUND((175/100)*ROUND((Source!AE36*Source!AV36)*Source!I36, 2), 2)</f>
        <v>0</v>
      </c>
      <c r="V56">
        <f>ROUND((108/100)*ROUND(Source!CS36*Source!I36, 2), 2)</f>
        <v>0</v>
      </c>
    </row>
    <row r="57" spans="1:22" ht="14.5" x14ac:dyDescent="0.35">
      <c r="A57" s="18"/>
      <c r="B57" s="18"/>
      <c r="C57" s="18" t="s">
        <v>355</v>
      </c>
      <c r="D57" s="19"/>
      <c r="E57" s="8"/>
      <c r="F57" s="21">
        <f>Source!AO36</f>
        <v>63.44</v>
      </c>
      <c r="G57" s="20" t="str">
        <f>Source!DG36</f>
        <v>)*111</v>
      </c>
      <c r="H57" s="8">
        <f>Source!AV36</f>
        <v>1</v>
      </c>
      <c r="I57" s="8">
        <f>IF(Source!BA36&lt;&gt; 0, Source!BA36, 1)</f>
        <v>1</v>
      </c>
      <c r="J57" s="21">
        <f>Source!S36</f>
        <v>1152481.6200000001</v>
      </c>
      <c r="K57" s="21"/>
    </row>
    <row r="58" spans="1:22" ht="14.5" x14ac:dyDescent="0.35">
      <c r="A58" s="18"/>
      <c r="B58" s="18"/>
      <c r="C58" s="18" t="s">
        <v>356</v>
      </c>
      <c r="D58" s="19" t="s">
        <v>354</v>
      </c>
      <c r="E58" s="8">
        <f>Source!AT36</f>
        <v>70</v>
      </c>
      <c r="F58" s="21"/>
      <c r="G58" s="20"/>
      <c r="H58" s="8"/>
      <c r="I58" s="8"/>
      <c r="J58" s="21">
        <f>SUM(R56:R57)</f>
        <v>806737.13</v>
      </c>
      <c r="K58" s="21"/>
    </row>
    <row r="59" spans="1:22" ht="14.5" x14ac:dyDescent="0.35">
      <c r="A59" s="18"/>
      <c r="B59" s="18"/>
      <c r="C59" s="18" t="s">
        <v>357</v>
      </c>
      <c r="D59" s="19" t="s">
        <v>354</v>
      </c>
      <c r="E59" s="8">
        <f>Source!AU36</f>
        <v>10</v>
      </c>
      <c r="F59" s="21"/>
      <c r="G59" s="20"/>
      <c r="H59" s="8"/>
      <c r="I59" s="8"/>
      <c r="J59" s="21">
        <f>SUM(T56:T58)</f>
        <v>115248.16</v>
      </c>
      <c r="K59" s="21"/>
    </row>
    <row r="60" spans="1:22" ht="14.5" x14ac:dyDescent="0.35">
      <c r="A60" s="18"/>
      <c r="B60" s="18"/>
      <c r="C60" s="18" t="s">
        <v>358</v>
      </c>
      <c r="D60" s="19" t="s">
        <v>359</v>
      </c>
      <c r="E60" s="8">
        <f>Source!AQ36</f>
        <v>0.14000000000000001</v>
      </c>
      <c r="F60" s="21"/>
      <c r="G60" s="20" t="str">
        <f>Source!DI36</f>
        <v>)*111</v>
      </c>
      <c r="H60" s="8">
        <f>Source!AV36</f>
        <v>1</v>
      </c>
      <c r="I60" s="8"/>
      <c r="J60" s="21"/>
      <c r="K60" s="21">
        <f>Source!U36</f>
        <v>2543.3074800000004</v>
      </c>
    </row>
    <row r="61" spans="1:22" ht="14" x14ac:dyDescent="0.3">
      <c r="A61" s="25"/>
      <c r="B61" s="25"/>
      <c r="C61" s="25"/>
      <c r="D61" s="25"/>
      <c r="E61" s="25"/>
      <c r="F61" s="25"/>
      <c r="G61" s="25"/>
      <c r="H61" s="25"/>
      <c r="I61" s="52">
        <f>J57+J58+J59</f>
        <v>2074466.91</v>
      </c>
      <c r="J61" s="52"/>
      <c r="K61" s="26">
        <f>IF(Source!I36&lt;&gt;0, ROUND(I61/Source!I36, 2), 0)</f>
        <v>12675.31</v>
      </c>
      <c r="P61" s="23">
        <f>I61</f>
        <v>2074466.91</v>
      </c>
    </row>
    <row r="62" spans="1:22" ht="42" x14ac:dyDescent="0.35">
      <c r="A62" s="18">
        <v>5</v>
      </c>
      <c r="B62" s="18" t="str">
        <f>Source!F37</f>
        <v>5.3-1101-13-2/1</v>
      </c>
      <c r="C62" s="18" t="str">
        <f>Source!G37</f>
        <v>Подметание вручную дорожек и площадок с грунтовым и щебеночным покрытием</v>
      </c>
      <c r="D62" s="19" t="str">
        <f>Source!H37</f>
        <v>100 м2</v>
      </c>
      <c r="E62" s="8">
        <f>Source!I37</f>
        <v>0.94550000000000001</v>
      </c>
      <c r="F62" s="21"/>
      <c r="G62" s="20"/>
      <c r="H62" s="8"/>
      <c r="I62" s="8"/>
      <c r="J62" s="21"/>
      <c r="K62" s="21"/>
      <c r="Q62">
        <f>ROUND((Source!BZ37/100)*ROUND((Source!AF37*Source!AV37)*Source!I37, 2), 2)</f>
        <v>3958.69</v>
      </c>
      <c r="R62">
        <f>Source!X37</f>
        <v>3958.69</v>
      </c>
      <c r="S62">
        <f>ROUND((Source!CA37/100)*ROUND((Source!AF37*Source!AV37)*Source!I37, 2), 2)</f>
        <v>565.53</v>
      </c>
      <c r="T62">
        <f>Source!Y37</f>
        <v>565.53</v>
      </c>
      <c r="U62">
        <f>ROUND((175/100)*ROUND((Source!AE37*Source!AV37)*Source!I37, 2), 2)</f>
        <v>0</v>
      </c>
      <c r="V62">
        <f>ROUND((108/100)*ROUND(Source!CS37*Source!I37, 2), 2)</f>
        <v>0</v>
      </c>
    </row>
    <row r="63" spans="1:22" x14ac:dyDescent="0.25">
      <c r="C63" s="28" t="str">
        <f>"Объем: "&amp;Source!I37&amp;"=94,55/"&amp;"100"</f>
        <v>Объем: 0,9455=94,55/100</v>
      </c>
    </row>
    <row r="64" spans="1:22" ht="14.5" x14ac:dyDescent="0.35">
      <c r="A64" s="18"/>
      <c r="B64" s="18"/>
      <c r="C64" s="18" t="s">
        <v>355</v>
      </c>
      <c r="D64" s="19"/>
      <c r="E64" s="8"/>
      <c r="F64" s="21">
        <f>Source!AO37</f>
        <v>108.75</v>
      </c>
      <c r="G64" s="20" t="str">
        <f>Source!DG37</f>
        <v>)*55</v>
      </c>
      <c r="H64" s="8">
        <f>Source!AV37</f>
        <v>1</v>
      </c>
      <c r="I64" s="8">
        <f>IF(Source!BA37&lt;&gt; 0, Source!BA37, 1)</f>
        <v>1</v>
      </c>
      <c r="J64" s="21">
        <f>Source!S37</f>
        <v>5655.27</v>
      </c>
      <c r="K64" s="21"/>
    </row>
    <row r="65" spans="1:22" ht="14.5" x14ac:dyDescent="0.35">
      <c r="A65" s="18"/>
      <c r="B65" s="18"/>
      <c r="C65" s="18" t="s">
        <v>356</v>
      </c>
      <c r="D65" s="19" t="s">
        <v>354</v>
      </c>
      <c r="E65" s="8">
        <f>Source!AT37</f>
        <v>70</v>
      </c>
      <c r="F65" s="21"/>
      <c r="G65" s="20"/>
      <c r="H65" s="8"/>
      <c r="I65" s="8"/>
      <c r="J65" s="21">
        <f>SUM(R62:R64)</f>
        <v>3958.69</v>
      </c>
      <c r="K65" s="21"/>
    </row>
    <row r="66" spans="1:22" ht="14.5" x14ac:dyDescent="0.35">
      <c r="A66" s="18"/>
      <c r="B66" s="18"/>
      <c r="C66" s="18" t="s">
        <v>357</v>
      </c>
      <c r="D66" s="19" t="s">
        <v>354</v>
      </c>
      <c r="E66" s="8">
        <f>Source!AU37</f>
        <v>10</v>
      </c>
      <c r="F66" s="21"/>
      <c r="G66" s="20"/>
      <c r="H66" s="8"/>
      <c r="I66" s="8"/>
      <c r="J66" s="21">
        <f>SUM(T62:T65)</f>
        <v>565.53</v>
      </c>
      <c r="K66" s="21"/>
    </row>
    <row r="67" spans="1:22" ht="14.5" x14ac:dyDescent="0.35">
      <c r="A67" s="18"/>
      <c r="B67" s="18"/>
      <c r="C67" s="18" t="s">
        <v>358</v>
      </c>
      <c r="D67" s="19" t="s">
        <v>359</v>
      </c>
      <c r="E67" s="8">
        <f>Source!AQ37</f>
        <v>0.24</v>
      </c>
      <c r="F67" s="21"/>
      <c r="G67" s="20" t="str">
        <f>Source!DI37</f>
        <v>)*55</v>
      </c>
      <c r="H67" s="8">
        <f>Source!AV37</f>
        <v>1</v>
      </c>
      <c r="I67" s="8"/>
      <c r="J67" s="21"/>
      <c r="K67" s="21">
        <f>Source!U37</f>
        <v>12.480599999999999</v>
      </c>
    </row>
    <row r="68" spans="1:22" ht="14" x14ac:dyDescent="0.3">
      <c r="A68" s="25"/>
      <c r="B68" s="25"/>
      <c r="C68" s="25"/>
      <c r="D68" s="25"/>
      <c r="E68" s="25"/>
      <c r="F68" s="25"/>
      <c r="G68" s="25"/>
      <c r="H68" s="25"/>
      <c r="I68" s="52">
        <f>J64+J65+J66</f>
        <v>10179.490000000002</v>
      </c>
      <c r="J68" s="52"/>
      <c r="K68" s="26">
        <f>IF(Source!I37&lt;&gt;0, ROUND(I68/Source!I37, 2), 0)</f>
        <v>10766.25</v>
      </c>
      <c r="P68" s="23">
        <f>I68</f>
        <v>10179.490000000002</v>
      </c>
    </row>
    <row r="69" spans="1:22" ht="42" x14ac:dyDescent="0.35">
      <c r="A69" s="18">
        <v>6</v>
      </c>
      <c r="B69" s="18" t="str">
        <f>Source!F38</f>
        <v>5.3-1102-21-1/1</v>
      </c>
      <c r="C69" s="18" t="str">
        <f>Source!G38</f>
        <v>Уборка детских и спортивных площадок с резиновым покрытием от снега - свежевыпавшего толщиной до 5 см</v>
      </c>
      <c r="D69" s="19" t="str">
        <f>Source!H38</f>
        <v>100 м2</v>
      </c>
      <c r="E69" s="8">
        <f>Source!I38</f>
        <v>7.16</v>
      </c>
      <c r="F69" s="21"/>
      <c r="G69" s="20"/>
      <c r="H69" s="8"/>
      <c r="I69" s="8"/>
      <c r="J69" s="21"/>
      <c r="K69" s="21"/>
      <c r="Q69">
        <f>ROUND((Source!BZ38/100)*ROUND((Source!AF38*Source!AV38)*Source!I38, 2), 2)</f>
        <v>128658.79</v>
      </c>
      <c r="R69">
        <f>Source!X38</f>
        <v>128658.79</v>
      </c>
      <c r="S69">
        <f>ROUND((Source!CA38/100)*ROUND((Source!AF38*Source!AV38)*Source!I38, 2), 2)</f>
        <v>18379.830000000002</v>
      </c>
      <c r="T69">
        <f>Source!Y38</f>
        <v>18379.830000000002</v>
      </c>
      <c r="U69">
        <f>ROUND((175/100)*ROUND((Source!AE38*Source!AV38)*Source!I38, 2), 2)</f>
        <v>0</v>
      </c>
      <c r="V69">
        <f>ROUND((108/100)*ROUND(Source!CS38*Source!I38, 2), 2)</f>
        <v>0</v>
      </c>
    </row>
    <row r="70" spans="1:22" ht="14.5" x14ac:dyDescent="0.35">
      <c r="A70" s="18"/>
      <c r="B70" s="18"/>
      <c r="C70" s="18" t="s">
        <v>355</v>
      </c>
      <c r="D70" s="19"/>
      <c r="E70" s="8"/>
      <c r="F70" s="21">
        <f>Source!AO38</f>
        <v>466.73</v>
      </c>
      <c r="G70" s="20" t="str">
        <f>Source!DG38</f>
        <v>)*55</v>
      </c>
      <c r="H70" s="8">
        <f>Source!AV38</f>
        <v>1</v>
      </c>
      <c r="I70" s="8">
        <f>IF(Source!BA38&lt;&gt; 0, Source!BA38, 1)</f>
        <v>1</v>
      </c>
      <c r="J70" s="21">
        <f>Source!S38</f>
        <v>183798.27</v>
      </c>
      <c r="K70" s="21"/>
    </row>
    <row r="71" spans="1:22" ht="14.5" x14ac:dyDescent="0.35">
      <c r="A71" s="18"/>
      <c r="B71" s="18"/>
      <c r="C71" s="18" t="s">
        <v>356</v>
      </c>
      <c r="D71" s="19" t="s">
        <v>354</v>
      </c>
      <c r="E71" s="8">
        <f>Source!AT38</f>
        <v>70</v>
      </c>
      <c r="F71" s="21"/>
      <c r="G71" s="20"/>
      <c r="H71" s="8"/>
      <c r="I71" s="8"/>
      <c r="J71" s="21">
        <f>SUM(R69:R70)</f>
        <v>128658.79</v>
      </c>
      <c r="K71" s="21"/>
    </row>
    <row r="72" spans="1:22" ht="14.5" x14ac:dyDescent="0.35">
      <c r="A72" s="18"/>
      <c r="B72" s="18"/>
      <c r="C72" s="18" t="s">
        <v>357</v>
      </c>
      <c r="D72" s="19" t="s">
        <v>354</v>
      </c>
      <c r="E72" s="8">
        <f>Source!AU38</f>
        <v>10</v>
      </c>
      <c r="F72" s="21"/>
      <c r="G72" s="20"/>
      <c r="H72" s="8"/>
      <c r="I72" s="8"/>
      <c r="J72" s="21">
        <f>SUM(T69:T71)</f>
        <v>18379.830000000002</v>
      </c>
      <c r="K72" s="21"/>
    </row>
    <row r="73" spans="1:22" ht="14.5" x14ac:dyDescent="0.35">
      <c r="A73" s="18"/>
      <c r="B73" s="18"/>
      <c r="C73" s="18" t="s">
        <v>358</v>
      </c>
      <c r="D73" s="19" t="s">
        <v>359</v>
      </c>
      <c r="E73" s="8">
        <f>Source!AQ38</f>
        <v>1.03</v>
      </c>
      <c r="F73" s="21"/>
      <c r="G73" s="20" t="str">
        <f>Source!DI38</f>
        <v>)*55</v>
      </c>
      <c r="H73" s="8">
        <f>Source!AV38</f>
        <v>1</v>
      </c>
      <c r="I73" s="8"/>
      <c r="J73" s="21"/>
      <c r="K73" s="21">
        <f>Source!U38</f>
        <v>405.61399999999998</v>
      </c>
    </row>
    <row r="74" spans="1:22" ht="14" x14ac:dyDescent="0.3">
      <c r="A74" s="25"/>
      <c r="B74" s="25"/>
      <c r="C74" s="25"/>
      <c r="D74" s="25"/>
      <c r="E74" s="25"/>
      <c r="F74" s="25"/>
      <c r="G74" s="25"/>
      <c r="H74" s="25"/>
      <c r="I74" s="52">
        <f>J70+J71+J72</f>
        <v>330836.89</v>
      </c>
      <c r="J74" s="52"/>
      <c r="K74" s="26">
        <f>IF(Source!I38&lt;&gt;0, ROUND(I74/Source!I38, 2), 0)</f>
        <v>46206.27</v>
      </c>
      <c r="P74" s="23">
        <f>I74</f>
        <v>330836.89</v>
      </c>
    </row>
    <row r="75" spans="1:22" ht="42" x14ac:dyDescent="0.35">
      <c r="A75" s="18">
        <v>7</v>
      </c>
      <c r="B75" s="18" t="str">
        <f>Source!F39</f>
        <v>5.3-1102-10-3/1</v>
      </c>
      <c r="C75" s="18" t="str">
        <f>Source!G39</f>
        <v>Посыпка противогололедными реагентами ХКНтв дорожных покрытий вручную</v>
      </c>
      <c r="D75" s="19" t="str">
        <f>Source!H39</f>
        <v>100 м2</v>
      </c>
      <c r="E75" s="8">
        <f>Source!I39</f>
        <v>163.66200000000001</v>
      </c>
      <c r="F75" s="21"/>
      <c r="G75" s="20"/>
      <c r="H75" s="8"/>
      <c r="I75" s="8"/>
      <c r="J75" s="21"/>
      <c r="K75" s="21"/>
      <c r="Q75">
        <f>ROUND((Source!BZ39/100)*ROUND((Source!AF39*Source!AV39)*Source!I39, 2), 2)</f>
        <v>467212.46</v>
      </c>
      <c r="R75">
        <f>Source!X39</f>
        <v>467212.46</v>
      </c>
      <c r="S75">
        <f>ROUND((Source!CA39/100)*ROUND((Source!AF39*Source!AV39)*Source!I39, 2), 2)</f>
        <v>66744.639999999999</v>
      </c>
      <c r="T75">
        <f>Source!Y39</f>
        <v>66744.639999999999</v>
      </c>
      <c r="U75">
        <f>ROUND((175/100)*ROUND((Source!AE39*Source!AV39)*Source!I39, 2), 2)</f>
        <v>0</v>
      </c>
      <c r="V75">
        <f>ROUND((108/100)*ROUND(Source!CS39*Source!I39, 2), 2)</f>
        <v>0</v>
      </c>
    </row>
    <row r="76" spans="1:22" ht="14.5" x14ac:dyDescent="0.35">
      <c r="A76" s="18"/>
      <c r="B76" s="18"/>
      <c r="C76" s="18" t="s">
        <v>355</v>
      </c>
      <c r="D76" s="19"/>
      <c r="E76" s="8"/>
      <c r="F76" s="21">
        <f>Source!AO39</f>
        <v>135.94</v>
      </c>
      <c r="G76" s="20" t="str">
        <f>Source!DG39</f>
        <v>)*30</v>
      </c>
      <c r="H76" s="8">
        <f>Source!AV39</f>
        <v>1</v>
      </c>
      <c r="I76" s="8">
        <f>IF(Source!BA39&lt;&gt; 0, Source!BA39, 1)</f>
        <v>1</v>
      </c>
      <c r="J76" s="21">
        <f>Source!S39</f>
        <v>667446.37</v>
      </c>
      <c r="K76" s="21"/>
    </row>
    <row r="77" spans="1:22" ht="14.5" x14ac:dyDescent="0.35">
      <c r="A77" s="18"/>
      <c r="B77" s="18"/>
      <c r="C77" s="18" t="s">
        <v>360</v>
      </c>
      <c r="D77" s="19"/>
      <c r="E77" s="8"/>
      <c r="F77" s="21">
        <f>Source!AL39</f>
        <v>136.5</v>
      </c>
      <c r="G77" s="20" t="str">
        <f>Source!DD39</f>
        <v>)*30</v>
      </c>
      <c r="H77" s="8">
        <f>Source!AW39</f>
        <v>1</v>
      </c>
      <c r="I77" s="8">
        <f>IF(Source!BC39&lt;&gt; 0, Source!BC39, 1)</f>
        <v>1</v>
      </c>
      <c r="J77" s="21">
        <f>Source!P39</f>
        <v>670195.89</v>
      </c>
      <c r="K77" s="21"/>
    </row>
    <row r="78" spans="1:22" ht="14.5" x14ac:dyDescent="0.35">
      <c r="A78" s="18"/>
      <c r="B78" s="18"/>
      <c r="C78" s="18" t="s">
        <v>356</v>
      </c>
      <c r="D78" s="19" t="s">
        <v>354</v>
      </c>
      <c r="E78" s="8">
        <f>Source!AT39</f>
        <v>70</v>
      </c>
      <c r="F78" s="21"/>
      <c r="G78" s="20"/>
      <c r="H78" s="8"/>
      <c r="I78" s="8"/>
      <c r="J78" s="21">
        <f>SUM(R75:R77)</f>
        <v>467212.46</v>
      </c>
      <c r="K78" s="21"/>
    </row>
    <row r="79" spans="1:22" ht="14.5" x14ac:dyDescent="0.35">
      <c r="A79" s="18"/>
      <c r="B79" s="18"/>
      <c r="C79" s="18" t="s">
        <v>357</v>
      </c>
      <c r="D79" s="19" t="s">
        <v>354</v>
      </c>
      <c r="E79" s="8">
        <f>Source!AU39</f>
        <v>10</v>
      </c>
      <c r="F79" s="21"/>
      <c r="G79" s="20"/>
      <c r="H79" s="8"/>
      <c r="I79" s="8"/>
      <c r="J79" s="21">
        <f>SUM(T75:T78)</f>
        <v>66744.639999999999</v>
      </c>
      <c r="K79" s="21"/>
    </row>
    <row r="80" spans="1:22" ht="14.5" x14ac:dyDescent="0.35">
      <c r="A80" s="18"/>
      <c r="B80" s="18"/>
      <c r="C80" s="18" t="s">
        <v>358</v>
      </c>
      <c r="D80" s="19" t="s">
        <v>359</v>
      </c>
      <c r="E80" s="8">
        <f>Source!AQ39</f>
        <v>0.3</v>
      </c>
      <c r="F80" s="21"/>
      <c r="G80" s="20" t="str">
        <f>Source!DI39</f>
        <v>)*30</v>
      </c>
      <c r="H80" s="8">
        <f>Source!AV39</f>
        <v>1</v>
      </c>
      <c r="I80" s="8"/>
      <c r="J80" s="21"/>
      <c r="K80" s="21">
        <f>Source!U39</f>
        <v>1472.9580000000001</v>
      </c>
    </row>
    <row r="81" spans="1:22" ht="14" x14ac:dyDescent="0.3">
      <c r="A81" s="25"/>
      <c r="B81" s="25"/>
      <c r="C81" s="25"/>
      <c r="D81" s="25"/>
      <c r="E81" s="25"/>
      <c r="F81" s="25"/>
      <c r="G81" s="25"/>
      <c r="H81" s="25"/>
      <c r="I81" s="52">
        <f>J76+J77+J78+J79</f>
        <v>1871599.3599999999</v>
      </c>
      <c r="J81" s="52"/>
      <c r="K81" s="26">
        <f>IF(Source!I39&lt;&gt;0, ROUND(I81/Source!I39, 2), 0)</f>
        <v>11435.76</v>
      </c>
      <c r="P81" s="23">
        <f>I81</f>
        <v>1871599.3599999999</v>
      </c>
    </row>
    <row r="82" spans="1:22" ht="42" x14ac:dyDescent="0.35">
      <c r="A82" s="18">
        <v>8</v>
      </c>
      <c r="B82" s="18" t="str">
        <f>Source!F40</f>
        <v>5.3-1102-13-3/1</v>
      </c>
      <c r="C82" s="18" t="str">
        <f>Source!G40</f>
        <v>Посыпка противогололедными реагентами дорожных покрытий средствами малой механизации</v>
      </c>
      <c r="D82" s="19" t="str">
        <f>Source!H40</f>
        <v>1000 м2</v>
      </c>
      <c r="E82" s="8">
        <f>Source!I40</f>
        <v>65.464799999999997</v>
      </c>
      <c r="F82" s="21"/>
      <c r="G82" s="20"/>
      <c r="H82" s="8"/>
      <c r="I82" s="8"/>
      <c r="J82" s="21"/>
      <c r="K82" s="21"/>
      <c r="Q82">
        <f>ROUND((Source!BZ40/100)*ROUND((Source!AF40*Source!AV40)*Source!I40, 2), 2)</f>
        <v>12455.33</v>
      </c>
      <c r="R82">
        <f>Source!X40</f>
        <v>12455.33</v>
      </c>
      <c r="S82">
        <f>ROUND((Source!CA40/100)*ROUND((Source!AF40*Source!AV40)*Source!I40, 2), 2)</f>
        <v>1779.33</v>
      </c>
      <c r="T82">
        <f>Source!Y40</f>
        <v>1779.33</v>
      </c>
      <c r="U82">
        <f>ROUND((175/100)*ROUND((Source!AE40*Source!AV40)*Source!I40, 2), 2)</f>
        <v>230650.49</v>
      </c>
      <c r="V82">
        <f>ROUND((108/100)*ROUND(Source!CS40*Source!I40, 2), 2)</f>
        <v>142344.29999999999</v>
      </c>
    </row>
    <row r="83" spans="1:22" ht="14.5" x14ac:dyDescent="0.35">
      <c r="A83" s="18"/>
      <c r="B83" s="18"/>
      <c r="C83" s="18" t="s">
        <v>355</v>
      </c>
      <c r="D83" s="19"/>
      <c r="E83" s="8"/>
      <c r="F83" s="21">
        <f>Source!AO40</f>
        <v>9.06</v>
      </c>
      <c r="G83" s="20" t="str">
        <f>Source!DG40</f>
        <v>)*30</v>
      </c>
      <c r="H83" s="8">
        <f>Source!AV40</f>
        <v>1</v>
      </c>
      <c r="I83" s="8">
        <f>IF(Source!BA40&lt;&gt; 0, Source!BA40, 1)</f>
        <v>1</v>
      </c>
      <c r="J83" s="21">
        <f>Source!S40</f>
        <v>17793.330000000002</v>
      </c>
      <c r="K83" s="21"/>
    </row>
    <row r="84" spans="1:22" ht="14.5" x14ac:dyDescent="0.35">
      <c r="A84" s="18"/>
      <c r="B84" s="18"/>
      <c r="C84" s="18" t="s">
        <v>351</v>
      </c>
      <c r="D84" s="19"/>
      <c r="E84" s="8"/>
      <c r="F84" s="21">
        <f>Source!AM40</f>
        <v>159.06</v>
      </c>
      <c r="G84" s="20" t="str">
        <f>Source!DE40</f>
        <v>)*30</v>
      </c>
      <c r="H84" s="8">
        <f>Source!AV40</f>
        <v>1</v>
      </c>
      <c r="I84" s="8">
        <f>IF(Source!BB40&lt;&gt; 0, Source!BB40, 1)</f>
        <v>1</v>
      </c>
      <c r="J84" s="21">
        <f>Source!Q40</f>
        <v>312384.93</v>
      </c>
      <c r="K84" s="21"/>
    </row>
    <row r="85" spans="1:22" ht="14.5" x14ac:dyDescent="0.35">
      <c r="A85" s="18"/>
      <c r="B85" s="18"/>
      <c r="C85" s="18" t="s">
        <v>352</v>
      </c>
      <c r="D85" s="19"/>
      <c r="E85" s="8"/>
      <c r="F85" s="21">
        <f>Source!AN40</f>
        <v>67.11</v>
      </c>
      <c r="G85" s="20" t="str">
        <f>Source!DF40</f>
        <v>)*30</v>
      </c>
      <c r="H85" s="8">
        <f>Source!AV40</f>
        <v>1</v>
      </c>
      <c r="I85" s="8">
        <f>IF(Source!BS40&lt;&gt; 0, Source!BS40, 1)</f>
        <v>1</v>
      </c>
      <c r="J85" s="22">
        <f>Source!R40</f>
        <v>131800.28</v>
      </c>
      <c r="K85" s="21"/>
    </row>
    <row r="86" spans="1:22" ht="14.5" x14ac:dyDescent="0.35">
      <c r="A86" s="18"/>
      <c r="B86" s="18"/>
      <c r="C86" s="18" t="s">
        <v>360</v>
      </c>
      <c r="D86" s="19"/>
      <c r="E86" s="8"/>
      <c r="F86" s="21">
        <f>Source!AL40</f>
        <v>1365</v>
      </c>
      <c r="G86" s="20" t="str">
        <f>Source!DD40</f>
        <v>)*30</v>
      </c>
      <c r="H86" s="8">
        <f>Source!AW40</f>
        <v>1</v>
      </c>
      <c r="I86" s="8">
        <f>IF(Source!BC40&lt;&gt; 0, Source!BC40, 1)</f>
        <v>1</v>
      </c>
      <c r="J86" s="21">
        <f>Source!P40</f>
        <v>2680783.56</v>
      </c>
      <c r="K86" s="21"/>
    </row>
    <row r="87" spans="1:22" ht="14.5" x14ac:dyDescent="0.35">
      <c r="A87" s="18"/>
      <c r="B87" s="18"/>
      <c r="C87" s="18" t="s">
        <v>356</v>
      </c>
      <c r="D87" s="19" t="s">
        <v>354</v>
      </c>
      <c r="E87" s="8">
        <f>Source!AT40</f>
        <v>70</v>
      </c>
      <c r="F87" s="21"/>
      <c r="G87" s="20"/>
      <c r="H87" s="8"/>
      <c r="I87" s="8"/>
      <c r="J87" s="21">
        <f>SUM(R82:R86)</f>
        <v>12455.33</v>
      </c>
      <c r="K87" s="21"/>
    </row>
    <row r="88" spans="1:22" ht="14.5" x14ac:dyDescent="0.35">
      <c r="A88" s="18"/>
      <c r="B88" s="18"/>
      <c r="C88" s="18" t="s">
        <v>357</v>
      </c>
      <c r="D88" s="19" t="s">
        <v>354</v>
      </c>
      <c r="E88" s="8">
        <f>Source!AU40</f>
        <v>10</v>
      </c>
      <c r="F88" s="21"/>
      <c r="G88" s="20"/>
      <c r="H88" s="8"/>
      <c r="I88" s="8"/>
      <c r="J88" s="21">
        <f>SUM(T82:T87)</f>
        <v>1779.33</v>
      </c>
      <c r="K88" s="21"/>
    </row>
    <row r="89" spans="1:22" ht="14.5" x14ac:dyDescent="0.35">
      <c r="A89" s="18"/>
      <c r="B89" s="18"/>
      <c r="C89" s="18" t="s">
        <v>353</v>
      </c>
      <c r="D89" s="19" t="s">
        <v>354</v>
      </c>
      <c r="E89" s="8">
        <f>108</f>
        <v>108</v>
      </c>
      <c r="F89" s="21"/>
      <c r="G89" s="20"/>
      <c r="H89" s="8"/>
      <c r="I89" s="8"/>
      <c r="J89" s="21">
        <f>SUM(V82:V88)</f>
        <v>142344.29999999999</v>
      </c>
      <c r="K89" s="21"/>
    </row>
    <row r="90" spans="1:22" ht="14.5" x14ac:dyDescent="0.35">
      <c r="A90" s="18"/>
      <c r="B90" s="18"/>
      <c r="C90" s="18" t="s">
        <v>358</v>
      </c>
      <c r="D90" s="19" t="s">
        <v>359</v>
      </c>
      <c r="E90" s="8">
        <f>Source!AQ40</f>
        <v>0.02</v>
      </c>
      <c r="F90" s="21"/>
      <c r="G90" s="20" t="str">
        <f>Source!DI40</f>
        <v>)*30</v>
      </c>
      <c r="H90" s="8">
        <f>Source!AV40</f>
        <v>1</v>
      </c>
      <c r="I90" s="8"/>
      <c r="J90" s="21"/>
      <c r="K90" s="21">
        <f>Source!U40</f>
        <v>39.278879999999994</v>
      </c>
    </row>
    <row r="91" spans="1:22" ht="14" x14ac:dyDescent="0.3">
      <c r="A91" s="25"/>
      <c r="B91" s="25"/>
      <c r="C91" s="25"/>
      <c r="D91" s="25"/>
      <c r="E91" s="25"/>
      <c r="F91" s="25"/>
      <c r="G91" s="25"/>
      <c r="H91" s="25"/>
      <c r="I91" s="52">
        <f>J83+J84+J86+J87+J88+J89</f>
        <v>3167540.7800000003</v>
      </c>
      <c r="J91" s="52"/>
      <c r="K91" s="26">
        <f>IF(Source!I40&lt;&gt;0, ROUND(I91/Source!I40, 2), 0)</f>
        <v>48385.4</v>
      </c>
      <c r="P91" s="23">
        <f>I91</f>
        <v>3167540.7800000003</v>
      </c>
    </row>
    <row r="92" spans="1:22" ht="28" x14ac:dyDescent="0.35">
      <c r="A92" s="18">
        <v>9</v>
      </c>
      <c r="B92" s="18" t="str">
        <f>Source!F41</f>
        <v>5.3-1102-9-1/1</v>
      </c>
      <c r="C92" s="18" t="str">
        <f>Source!G41</f>
        <v>Колка льда на обледеневших покрытиях вручную</v>
      </c>
      <c r="D92" s="19" t="str">
        <f>Source!H41</f>
        <v>100 м2</v>
      </c>
      <c r="E92" s="8">
        <f>Source!I41</f>
        <v>8.1830999999999996</v>
      </c>
      <c r="F92" s="21"/>
      <c r="G92" s="20"/>
      <c r="H92" s="8"/>
      <c r="I92" s="8"/>
      <c r="J92" s="21"/>
      <c r="K92" s="21"/>
      <c r="Q92">
        <f>ROUND((Source!BZ41/100)*ROUND((Source!AF41*Source!AV41)*Source!I41, 2), 2)</f>
        <v>125111.25</v>
      </c>
      <c r="R92">
        <f>Source!X41</f>
        <v>125111.25</v>
      </c>
      <c r="S92">
        <f>ROUND((Source!CA41/100)*ROUND((Source!AF41*Source!AV41)*Source!I41, 2), 2)</f>
        <v>17873.04</v>
      </c>
      <c r="T92">
        <f>Source!Y41</f>
        <v>17873.04</v>
      </c>
      <c r="U92">
        <f>ROUND((175/100)*ROUND((Source!AE41*Source!AV41)*Source!I41, 2), 2)</f>
        <v>0</v>
      </c>
      <c r="V92">
        <f>ROUND((108/100)*ROUND(Source!CS41*Source!I41, 2), 2)</f>
        <v>0</v>
      </c>
    </row>
    <row r="93" spans="1:22" ht="14.5" x14ac:dyDescent="0.35">
      <c r="A93" s="18"/>
      <c r="B93" s="18"/>
      <c r="C93" s="18" t="s">
        <v>355</v>
      </c>
      <c r="D93" s="19"/>
      <c r="E93" s="8"/>
      <c r="F93" s="21">
        <f>Source!AO41</f>
        <v>1092.07</v>
      </c>
      <c r="G93" s="20" t="str">
        <f>Source!DG41</f>
        <v>)*20</v>
      </c>
      <c r="H93" s="8">
        <f>Source!AV41</f>
        <v>1</v>
      </c>
      <c r="I93" s="8">
        <f>IF(Source!BA41&lt;&gt; 0, Source!BA41, 1)</f>
        <v>1</v>
      </c>
      <c r="J93" s="21">
        <f>Source!S41</f>
        <v>178730.36</v>
      </c>
      <c r="K93" s="21"/>
    </row>
    <row r="94" spans="1:22" ht="14.5" x14ac:dyDescent="0.35">
      <c r="A94" s="18"/>
      <c r="B94" s="18"/>
      <c r="C94" s="18" t="s">
        <v>356</v>
      </c>
      <c r="D94" s="19" t="s">
        <v>354</v>
      </c>
      <c r="E94" s="8">
        <f>Source!AT41</f>
        <v>70</v>
      </c>
      <c r="F94" s="21"/>
      <c r="G94" s="20"/>
      <c r="H94" s="8"/>
      <c r="I94" s="8"/>
      <c r="J94" s="21">
        <f>SUM(R92:R93)</f>
        <v>125111.25</v>
      </c>
      <c r="K94" s="21"/>
    </row>
    <row r="95" spans="1:22" ht="14.5" x14ac:dyDescent="0.35">
      <c r="A95" s="18"/>
      <c r="B95" s="18"/>
      <c r="C95" s="18" t="s">
        <v>357</v>
      </c>
      <c r="D95" s="19" t="s">
        <v>354</v>
      </c>
      <c r="E95" s="8">
        <f>Source!AU41</f>
        <v>10</v>
      </c>
      <c r="F95" s="21"/>
      <c r="G95" s="20"/>
      <c r="H95" s="8"/>
      <c r="I95" s="8"/>
      <c r="J95" s="21">
        <f>SUM(T92:T94)</f>
        <v>17873.04</v>
      </c>
      <c r="K95" s="21"/>
    </row>
    <row r="96" spans="1:22" ht="14.5" x14ac:dyDescent="0.35">
      <c r="A96" s="18"/>
      <c r="B96" s="18"/>
      <c r="C96" s="18" t="s">
        <v>358</v>
      </c>
      <c r="D96" s="19" t="s">
        <v>359</v>
      </c>
      <c r="E96" s="8">
        <f>Source!AQ41</f>
        <v>2.41</v>
      </c>
      <c r="F96" s="21"/>
      <c r="G96" s="20" t="str">
        <f>Source!DI41</f>
        <v>)*20</v>
      </c>
      <c r="H96" s="8">
        <f>Source!AV41</f>
        <v>1</v>
      </c>
      <c r="I96" s="8"/>
      <c r="J96" s="21"/>
      <c r="K96" s="21">
        <f>Source!U41</f>
        <v>394.42542000000003</v>
      </c>
    </row>
    <row r="97" spans="1:22" ht="14" x14ac:dyDescent="0.3">
      <c r="A97" s="25"/>
      <c r="B97" s="25"/>
      <c r="C97" s="25"/>
      <c r="D97" s="25"/>
      <c r="E97" s="25"/>
      <c r="F97" s="25"/>
      <c r="G97" s="25"/>
      <c r="H97" s="25"/>
      <c r="I97" s="52">
        <f>J93+J94+J95</f>
        <v>321714.64999999997</v>
      </c>
      <c r="J97" s="52"/>
      <c r="K97" s="26">
        <f>IF(Source!I41&lt;&gt;0, ROUND(I97/Source!I41, 2), 0)</f>
        <v>39314.519999999997</v>
      </c>
      <c r="P97" s="23">
        <f>I97</f>
        <v>321714.64999999997</v>
      </c>
    </row>
    <row r="98" spans="1:22" ht="70" x14ac:dyDescent="0.35">
      <c r="A98" s="18">
        <v>10</v>
      </c>
      <c r="B98" s="18" t="str">
        <f>Source!F42</f>
        <v>5.3-1102-25-1/1</v>
      </c>
      <c r="C98" s="18" t="str">
        <f>Source!G42</f>
        <v>Сбор и перемещение снега и скола к месту временного размещения механизированным способом, объем ковша погрузчика до 0,5 м3 - перемещение на 250 м</v>
      </c>
      <c r="D98" s="19" t="str">
        <f>Source!H42</f>
        <v>м3</v>
      </c>
      <c r="E98" s="8">
        <f>Source!I42</f>
        <v>14729.58</v>
      </c>
      <c r="F98" s="21"/>
      <c r="G98" s="20"/>
      <c r="H98" s="8"/>
      <c r="I98" s="8"/>
      <c r="J98" s="21"/>
      <c r="K98" s="21"/>
      <c r="Q98">
        <f>ROUND((Source!BZ42/100)*ROUND((Source!AF42*Source!AV42)*Source!I42, 2), 2)</f>
        <v>1728692.97</v>
      </c>
      <c r="R98">
        <f>Source!X42</f>
        <v>1728692.97</v>
      </c>
      <c r="S98">
        <f>ROUND((Source!CA42/100)*ROUND((Source!AF42*Source!AV42)*Source!I42, 2), 2)</f>
        <v>246956.14</v>
      </c>
      <c r="T98">
        <f>Source!Y42</f>
        <v>246956.14</v>
      </c>
      <c r="U98">
        <f>ROUND((175/100)*ROUND((Source!AE42*Source!AV42)*Source!I42, 2), 2)</f>
        <v>9015681.3300000001</v>
      </c>
      <c r="V98">
        <f>ROUND((108/100)*ROUND(Source!CS42*Source!I42, 2), 2)</f>
        <v>5563963.3300000001</v>
      </c>
    </row>
    <row r="99" spans="1:22" ht="14.5" x14ac:dyDescent="0.35">
      <c r="A99" s="18"/>
      <c r="B99" s="18"/>
      <c r="C99" s="18" t="s">
        <v>355</v>
      </c>
      <c r="D99" s="19"/>
      <c r="E99" s="8"/>
      <c r="F99" s="21">
        <f>Source!AO42</f>
        <v>167.66</v>
      </c>
      <c r="G99" s="20" t="str">
        <f>Source!DG42</f>
        <v/>
      </c>
      <c r="H99" s="8">
        <f>Source!AV42</f>
        <v>1</v>
      </c>
      <c r="I99" s="8">
        <f>IF(Source!BA42&lt;&gt; 0, Source!BA42, 1)</f>
        <v>1</v>
      </c>
      <c r="J99" s="21">
        <f>Source!S42</f>
        <v>2469561.38</v>
      </c>
      <c r="K99" s="21"/>
    </row>
    <row r="100" spans="1:22" ht="14.5" x14ac:dyDescent="0.35">
      <c r="A100" s="18"/>
      <c r="B100" s="18"/>
      <c r="C100" s="18" t="s">
        <v>351</v>
      </c>
      <c r="D100" s="19"/>
      <c r="E100" s="8"/>
      <c r="F100" s="21">
        <f>Source!AM42</f>
        <v>713</v>
      </c>
      <c r="G100" s="20" t="str">
        <f>Source!DE42</f>
        <v/>
      </c>
      <c r="H100" s="8">
        <f>Source!AV42</f>
        <v>1</v>
      </c>
      <c r="I100" s="8">
        <f>IF(Source!BB42&lt;&gt; 0, Source!BB42, 1)</f>
        <v>1</v>
      </c>
      <c r="J100" s="21">
        <f>Source!Q42</f>
        <v>10502190.539999999</v>
      </c>
      <c r="K100" s="21"/>
    </row>
    <row r="101" spans="1:22" ht="14.5" x14ac:dyDescent="0.35">
      <c r="A101" s="18"/>
      <c r="B101" s="18"/>
      <c r="C101" s="18" t="s">
        <v>352</v>
      </c>
      <c r="D101" s="19"/>
      <c r="E101" s="8"/>
      <c r="F101" s="21">
        <f>Source!AN42</f>
        <v>349.76</v>
      </c>
      <c r="G101" s="20" t="str">
        <f>Source!DF42</f>
        <v/>
      </c>
      <c r="H101" s="8">
        <f>Source!AV42</f>
        <v>1</v>
      </c>
      <c r="I101" s="8">
        <f>IF(Source!BS42&lt;&gt; 0, Source!BS42, 1)</f>
        <v>1</v>
      </c>
      <c r="J101" s="22">
        <f>Source!R42</f>
        <v>5151817.9000000004</v>
      </c>
      <c r="K101" s="21"/>
    </row>
    <row r="102" spans="1:22" ht="14.5" x14ac:dyDescent="0.35">
      <c r="A102" s="18"/>
      <c r="B102" s="18"/>
      <c r="C102" s="18" t="s">
        <v>356</v>
      </c>
      <c r="D102" s="19" t="s">
        <v>354</v>
      </c>
      <c r="E102" s="8">
        <f>Source!AT42</f>
        <v>70</v>
      </c>
      <c r="F102" s="21"/>
      <c r="G102" s="20"/>
      <c r="H102" s="8"/>
      <c r="I102" s="8"/>
      <c r="J102" s="21">
        <f>SUM(R98:R101)</f>
        <v>1728692.97</v>
      </c>
      <c r="K102" s="21"/>
    </row>
    <row r="103" spans="1:22" ht="14.5" x14ac:dyDescent="0.35">
      <c r="A103" s="18"/>
      <c r="B103" s="18"/>
      <c r="C103" s="18" t="s">
        <v>357</v>
      </c>
      <c r="D103" s="19" t="s">
        <v>354</v>
      </c>
      <c r="E103" s="8">
        <f>Source!AU42</f>
        <v>10</v>
      </c>
      <c r="F103" s="21"/>
      <c r="G103" s="20"/>
      <c r="H103" s="8"/>
      <c r="I103" s="8"/>
      <c r="J103" s="21">
        <f>SUM(T98:T102)</f>
        <v>246956.14</v>
      </c>
      <c r="K103" s="21"/>
    </row>
    <row r="104" spans="1:22" ht="14.5" x14ac:dyDescent="0.35">
      <c r="A104" s="18"/>
      <c r="B104" s="18"/>
      <c r="C104" s="18" t="s">
        <v>353</v>
      </c>
      <c r="D104" s="19" t="s">
        <v>354</v>
      </c>
      <c r="E104" s="8">
        <f>108</f>
        <v>108</v>
      </c>
      <c r="F104" s="21"/>
      <c r="G104" s="20"/>
      <c r="H104" s="8"/>
      <c r="I104" s="8"/>
      <c r="J104" s="21">
        <f>SUM(V98:V103)</f>
        <v>5563963.3300000001</v>
      </c>
      <c r="K104" s="21"/>
    </row>
    <row r="105" spans="1:22" ht="14.5" x14ac:dyDescent="0.35">
      <c r="A105" s="18"/>
      <c r="B105" s="18"/>
      <c r="C105" s="18" t="s">
        <v>358</v>
      </c>
      <c r="D105" s="19" t="s">
        <v>359</v>
      </c>
      <c r="E105" s="8">
        <f>Source!AQ42</f>
        <v>0.37</v>
      </c>
      <c r="F105" s="21"/>
      <c r="G105" s="20" t="str">
        <f>Source!DI42</f>
        <v/>
      </c>
      <c r="H105" s="8">
        <f>Source!AV42</f>
        <v>1</v>
      </c>
      <c r="I105" s="8"/>
      <c r="J105" s="21"/>
      <c r="K105" s="21">
        <f>Source!U42</f>
        <v>5449.9445999999998</v>
      </c>
    </row>
    <row r="106" spans="1:22" ht="14" x14ac:dyDescent="0.3">
      <c r="A106" s="25"/>
      <c r="B106" s="25"/>
      <c r="C106" s="25"/>
      <c r="D106" s="25"/>
      <c r="E106" s="25"/>
      <c r="F106" s="25"/>
      <c r="G106" s="25"/>
      <c r="H106" s="25"/>
      <c r="I106" s="52">
        <f>J99+J100+J102+J103+J104</f>
        <v>20511364.359999999</v>
      </c>
      <c r="J106" s="52"/>
      <c r="K106" s="26">
        <f>IF(Source!I42&lt;&gt;0, ROUND(I106/Source!I42, 2), 0)</f>
        <v>1392.53</v>
      </c>
      <c r="P106" s="23">
        <f>I106</f>
        <v>20511364.359999999</v>
      </c>
    </row>
    <row r="107" spans="1:22" ht="28" x14ac:dyDescent="0.35">
      <c r="A107" s="18">
        <v>11</v>
      </c>
      <c r="B107" s="18" t="str">
        <f>Source!F43</f>
        <v>5.3-1102-14-1/1</v>
      </c>
      <c r="C107" s="18" t="str">
        <f>Source!G43</f>
        <v>Погрузка снега средствами малой механизации</v>
      </c>
      <c r="D107" s="19" t="str">
        <f>Source!H43</f>
        <v>м3</v>
      </c>
      <c r="E107" s="8">
        <f>Source!I43</f>
        <v>14729.58</v>
      </c>
      <c r="F107" s="21"/>
      <c r="G107" s="20"/>
      <c r="H107" s="8"/>
      <c r="I107" s="8"/>
      <c r="J107" s="21"/>
      <c r="K107" s="21"/>
      <c r="Q107">
        <f>ROUND((Source!BZ43/100)*ROUND((Source!AF43*Source!AV43)*Source!I43, 2), 2)</f>
        <v>0</v>
      </c>
      <c r="R107">
        <f>Source!X43</f>
        <v>0</v>
      </c>
      <c r="S107">
        <f>ROUND((Source!CA43/100)*ROUND((Source!AF43*Source!AV43)*Source!I43, 2), 2)</f>
        <v>0</v>
      </c>
      <c r="T107">
        <f>Source!Y43</f>
        <v>0</v>
      </c>
      <c r="U107">
        <f>ROUND((175/100)*ROUND((Source!AE43*Source!AV43)*Source!I43, 2), 2)</f>
        <v>2386412.91</v>
      </c>
      <c r="V107">
        <f>ROUND((108/100)*ROUND(Source!CS43*Source!I43, 2), 2)</f>
        <v>1472757.68</v>
      </c>
    </row>
    <row r="108" spans="1:22" ht="14.5" x14ac:dyDescent="0.35">
      <c r="A108" s="18"/>
      <c r="B108" s="18"/>
      <c r="C108" s="18" t="s">
        <v>351</v>
      </c>
      <c r="D108" s="19"/>
      <c r="E108" s="8"/>
      <c r="F108" s="21">
        <f>Source!AM43</f>
        <v>188.74</v>
      </c>
      <c r="G108" s="20" t="str">
        <f>Source!DE43</f>
        <v/>
      </c>
      <c r="H108" s="8">
        <f>Source!AV43</f>
        <v>1</v>
      </c>
      <c r="I108" s="8">
        <f>IF(Source!BB43&lt;&gt; 0, Source!BB43, 1)</f>
        <v>1</v>
      </c>
      <c r="J108" s="21">
        <f>Source!Q43</f>
        <v>2780060.93</v>
      </c>
      <c r="K108" s="21"/>
    </row>
    <row r="109" spans="1:22" ht="14.5" x14ac:dyDescent="0.35">
      <c r="A109" s="18"/>
      <c r="B109" s="18"/>
      <c r="C109" s="18" t="s">
        <v>352</v>
      </c>
      <c r="D109" s="19"/>
      <c r="E109" s="8"/>
      <c r="F109" s="21">
        <f>Source!AN43</f>
        <v>92.58</v>
      </c>
      <c r="G109" s="20" t="str">
        <f>Source!DF43</f>
        <v/>
      </c>
      <c r="H109" s="8">
        <f>Source!AV43</f>
        <v>1</v>
      </c>
      <c r="I109" s="8">
        <f>IF(Source!BS43&lt;&gt; 0, Source!BS43, 1)</f>
        <v>1</v>
      </c>
      <c r="J109" s="22">
        <f>Source!R43</f>
        <v>1363664.52</v>
      </c>
      <c r="K109" s="21"/>
    </row>
    <row r="110" spans="1:22" ht="14.5" x14ac:dyDescent="0.35">
      <c r="A110" s="18"/>
      <c r="B110" s="18"/>
      <c r="C110" s="18" t="s">
        <v>353</v>
      </c>
      <c r="D110" s="19" t="s">
        <v>354</v>
      </c>
      <c r="E110" s="8">
        <f>108</f>
        <v>108</v>
      </c>
      <c r="F110" s="21"/>
      <c r="G110" s="20"/>
      <c r="H110" s="8"/>
      <c r="I110" s="8"/>
      <c r="J110" s="21">
        <f>SUM(V107:V109)</f>
        <v>1472757.68</v>
      </c>
      <c r="K110" s="21"/>
    </row>
    <row r="111" spans="1:22" ht="14" x14ac:dyDescent="0.3">
      <c r="A111" s="25"/>
      <c r="B111" s="25"/>
      <c r="C111" s="25"/>
      <c r="D111" s="25"/>
      <c r="E111" s="25"/>
      <c r="F111" s="25"/>
      <c r="G111" s="25"/>
      <c r="H111" s="25"/>
      <c r="I111" s="52">
        <f>J108+J110</f>
        <v>4252818.6100000003</v>
      </c>
      <c r="J111" s="52"/>
      <c r="K111" s="26">
        <f>IF(Source!I43&lt;&gt;0, ROUND(I111/Source!I43, 2), 0)</f>
        <v>288.73</v>
      </c>
      <c r="P111" s="23">
        <f>I111</f>
        <v>4252818.6100000003</v>
      </c>
    </row>
    <row r="112" spans="1:22" ht="28" x14ac:dyDescent="0.35">
      <c r="A112" s="18">
        <v>12</v>
      </c>
      <c r="B112" s="18" t="str">
        <f>Source!F44</f>
        <v>5.3-1102-4-1/1</v>
      </c>
      <c r="C112" s="18" t="str">
        <f>Source!G44</f>
        <v>Очистка скамеек, садовых диванов, урн, цветочниц, боллардов от снега вручную</v>
      </c>
      <c r="D112" s="19" t="str">
        <f>Source!H44</f>
        <v>100 м2</v>
      </c>
      <c r="E112" s="8">
        <f>Source!I44</f>
        <v>0.67079999999999995</v>
      </c>
      <c r="F112" s="21"/>
      <c r="G112" s="20"/>
      <c r="H112" s="8"/>
      <c r="I112" s="8"/>
      <c r="J112" s="21"/>
      <c r="K112" s="21"/>
      <c r="Q112">
        <f>ROUND((Source!BZ44/100)*ROUND((Source!AF44*Source!AV44)*Source!I44, 2), 2)</f>
        <v>13153.81</v>
      </c>
      <c r="R112">
        <f>Source!X44</f>
        <v>13153.81</v>
      </c>
      <c r="S112">
        <f>ROUND((Source!CA44/100)*ROUND((Source!AF44*Source!AV44)*Source!I44, 2), 2)</f>
        <v>1879.12</v>
      </c>
      <c r="T112">
        <f>Source!Y44</f>
        <v>1879.12</v>
      </c>
      <c r="U112">
        <f>ROUND((175/100)*ROUND((Source!AE44*Source!AV44)*Source!I44, 2), 2)</f>
        <v>0</v>
      </c>
      <c r="V112">
        <f>ROUND((108/100)*ROUND(Source!CS44*Source!I44, 2), 2)</f>
        <v>0</v>
      </c>
    </row>
    <row r="113" spans="1:22" ht="14.5" x14ac:dyDescent="0.35">
      <c r="A113" s="18"/>
      <c r="B113" s="18"/>
      <c r="C113" s="18" t="s">
        <v>355</v>
      </c>
      <c r="D113" s="19"/>
      <c r="E113" s="8"/>
      <c r="F113" s="21">
        <f>Source!AO44</f>
        <v>1273.32</v>
      </c>
      <c r="G113" s="20" t="str">
        <f>Source!DG44</f>
        <v>)*22</v>
      </c>
      <c r="H113" s="8">
        <f>Source!AV44</f>
        <v>1</v>
      </c>
      <c r="I113" s="8">
        <f>IF(Source!BA44&lt;&gt; 0, Source!BA44, 1)</f>
        <v>1</v>
      </c>
      <c r="J113" s="21">
        <f>Source!S44</f>
        <v>18791.150000000001</v>
      </c>
      <c r="K113" s="21"/>
    </row>
    <row r="114" spans="1:22" ht="14.5" x14ac:dyDescent="0.35">
      <c r="A114" s="18"/>
      <c r="B114" s="18"/>
      <c r="C114" s="18" t="s">
        <v>356</v>
      </c>
      <c r="D114" s="19" t="s">
        <v>354</v>
      </c>
      <c r="E114" s="8">
        <f>Source!AT44</f>
        <v>70</v>
      </c>
      <c r="F114" s="21"/>
      <c r="G114" s="20"/>
      <c r="H114" s="8"/>
      <c r="I114" s="8"/>
      <c r="J114" s="21">
        <f>SUM(R112:R113)</f>
        <v>13153.81</v>
      </c>
      <c r="K114" s="21"/>
    </row>
    <row r="115" spans="1:22" ht="14.5" x14ac:dyDescent="0.35">
      <c r="A115" s="18"/>
      <c r="B115" s="18"/>
      <c r="C115" s="18" t="s">
        <v>357</v>
      </c>
      <c r="D115" s="19" t="s">
        <v>354</v>
      </c>
      <c r="E115" s="8">
        <f>Source!AU44</f>
        <v>10</v>
      </c>
      <c r="F115" s="21"/>
      <c r="G115" s="20"/>
      <c r="H115" s="8"/>
      <c r="I115" s="8"/>
      <c r="J115" s="21">
        <f>SUM(T112:T114)</f>
        <v>1879.12</v>
      </c>
      <c r="K115" s="21"/>
    </row>
    <row r="116" spans="1:22" ht="14.5" x14ac:dyDescent="0.35">
      <c r="A116" s="18"/>
      <c r="B116" s="18"/>
      <c r="C116" s="18" t="s">
        <v>358</v>
      </c>
      <c r="D116" s="19" t="s">
        <v>359</v>
      </c>
      <c r="E116" s="8">
        <f>Source!AQ44</f>
        <v>2.81</v>
      </c>
      <c r="F116" s="21"/>
      <c r="G116" s="20" t="str">
        <f>Source!DI44</f>
        <v>)*22</v>
      </c>
      <c r="H116" s="8">
        <f>Source!AV44</f>
        <v>1</v>
      </c>
      <c r="I116" s="8"/>
      <c r="J116" s="21"/>
      <c r="K116" s="21">
        <f>Source!U44</f>
        <v>41.468855999999995</v>
      </c>
    </row>
    <row r="117" spans="1:22" ht="14" x14ac:dyDescent="0.3">
      <c r="A117" s="25"/>
      <c r="B117" s="25"/>
      <c r="C117" s="25"/>
      <c r="D117" s="25"/>
      <c r="E117" s="25"/>
      <c r="F117" s="25"/>
      <c r="G117" s="25"/>
      <c r="H117" s="25"/>
      <c r="I117" s="52">
        <f>J113+J114+J115</f>
        <v>33824.080000000002</v>
      </c>
      <c r="J117" s="52"/>
      <c r="K117" s="26">
        <f>IF(Source!I44&lt;&gt;0, ROUND(I117/Source!I44, 2), 0)</f>
        <v>50423.49</v>
      </c>
      <c r="P117" s="23">
        <f>I117</f>
        <v>33824.080000000002</v>
      </c>
    </row>
    <row r="118" spans="1:22" ht="42" x14ac:dyDescent="0.35">
      <c r="A118" s="18">
        <v>13</v>
      </c>
      <c r="B118" s="18" t="str">
        <f>Source!F45</f>
        <v>5.3-1101-12-1/1</v>
      </c>
      <c r="C118" s="18" t="str">
        <f>Source!G45</f>
        <v>Уход за урнами на придомовых и внутрибольничных территориях, очистка урн опрокидывающихся от мусора</v>
      </c>
      <c r="D118" s="19" t="str">
        <f>Source!H45</f>
        <v>100 шт.</v>
      </c>
      <c r="E118" s="8">
        <f>Source!I45</f>
        <v>0.34</v>
      </c>
      <c r="F118" s="21"/>
      <c r="G118" s="20"/>
      <c r="H118" s="8"/>
      <c r="I118" s="8"/>
      <c r="J118" s="21"/>
      <c r="K118" s="21"/>
      <c r="Q118">
        <f>ROUND((Source!BZ45/100)*ROUND((Source!AF45*Source!AV45)*Source!I45, 2), 2)</f>
        <v>43145.5</v>
      </c>
      <c r="R118">
        <f>Source!X45</f>
        <v>43145.5</v>
      </c>
      <c r="S118">
        <f>ROUND((Source!CA45/100)*ROUND((Source!AF45*Source!AV45)*Source!I45, 2), 2)</f>
        <v>6163.64</v>
      </c>
      <c r="T118">
        <f>Source!Y45</f>
        <v>6163.64</v>
      </c>
      <c r="U118">
        <f>ROUND((175/100)*ROUND((Source!AE45*Source!AV45)*Source!I45, 2), 2)</f>
        <v>0</v>
      </c>
      <c r="V118">
        <f>ROUND((108/100)*ROUND(Source!CS45*Source!I45, 2), 2)</f>
        <v>0</v>
      </c>
    </row>
    <row r="119" spans="1:22" ht="14.5" x14ac:dyDescent="0.35">
      <c r="A119" s="18"/>
      <c r="B119" s="18"/>
      <c r="C119" s="18" t="s">
        <v>355</v>
      </c>
      <c r="D119" s="19"/>
      <c r="E119" s="8"/>
      <c r="F119" s="21">
        <f>Source!AO45</f>
        <v>1092.07</v>
      </c>
      <c r="G119" s="20" t="str">
        <f>Source!DG45</f>
        <v>)*166</v>
      </c>
      <c r="H119" s="8">
        <f>Source!AV45</f>
        <v>1</v>
      </c>
      <c r="I119" s="8">
        <f>IF(Source!BA45&lt;&gt; 0, Source!BA45, 1)</f>
        <v>1</v>
      </c>
      <c r="J119" s="21">
        <f>Source!S45</f>
        <v>61636.43</v>
      </c>
      <c r="K119" s="21"/>
    </row>
    <row r="120" spans="1:22" ht="14.5" x14ac:dyDescent="0.35">
      <c r="A120" s="18"/>
      <c r="B120" s="18"/>
      <c r="C120" s="18" t="s">
        <v>360</v>
      </c>
      <c r="D120" s="19"/>
      <c r="E120" s="8"/>
      <c r="F120" s="21">
        <f>Source!AL45</f>
        <v>275</v>
      </c>
      <c r="G120" s="20" t="str">
        <f>Source!DD45</f>
        <v>)*166</v>
      </c>
      <c r="H120" s="8">
        <f>Source!AW45</f>
        <v>1</v>
      </c>
      <c r="I120" s="8">
        <f>IF(Source!BC45&lt;&gt; 0, Source!BC45, 1)</f>
        <v>1</v>
      </c>
      <c r="J120" s="21">
        <f>Source!P45</f>
        <v>15521</v>
      </c>
      <c r="K120" s="21"/>
    </row>
    <row r="121" spans="1:22" ht="14.5" x14ac:dyDescent="0.35">
      <c r="A121" s="18"/>
      <c r="B121" s="18"/>
      <c r="C121" s="18" t="s">
        <v>356</v>
      </c>
      <c r="D121" s="19" t="s">
        <v>354</v>
      </c>
      <c r="E121" s="8">
        <f>Source!AT45</f>
        <v>70</v>
      </c>
      <c r="F121" s="21"/>
      <c r="G121" s="20"/>
      <c r="H121" s="8"/>
      <c r="I121" s="8"/>
      <c r="J121" s="21">
        <f>SUM(R118:R120)</f>
        <v>43145.5</v>
      </c>
      <c r="K121" s="21"/>
    </row>
    <row r="122" spans="1:22" ht="14.5" x14ac:dyDescent="0.35">
      <c r="A122" s="18"/>
      <c r="B122" s="18"/>
      <c r="C122" s="18" t="s">
        <v>357</v>
      </c>
      <c r="D122" s="19" t="s">
        <v>354</v>
      </c>
      <c r="E122" s="8">
        <f>Source!AU45</f>
        <v>10</v>
      </c>
      <c r="F122" s="21"/>
      <c r="G122" s="20"/>
      <c r="H122" s="8"/>
      <c r="I122" s="8"/>
      <c r="J122" s="21">
        <f>SUM(T118:T121)</f>
        <v>6163.64</v>
      </c>
      <c r="K122" s="21"/>
    </row>
    <row r="123" spans="1:22" ht="14.5" x14ac:dyDescent="0.35">
      <c r="A123" s="18"/>
      <c r="B123" s="18"/>
      <c r="C123" s="18" t="s">
        <v>358</v>
      </c>
      <c r="D123" s="19" t="s">
        <v>359</v>
      </c>
      <c r="E123" s="8">
        <f>Source!AQ45</f>
        <v>2.41</v>
      </c>
      <c r="F123" s="21"/>
      <c r="G123" s="20" t="str">
        <f>Source!DI45</f>
        <v>)*166</v>
      </c>
      <c r="H123" s="8">
        <f>Source!AV45</f>
        <v>1</v>
      </c>
      <c r="I123" s="8"/>
      <c r="J123" s="21"/>
      <c r="K123" s="21">
        <f>Source!U45</f>
        <v>136.02040000000002</v>
      </c>
    </row>
    <row r="124" spans="1:22" ht="14" x14ac:dyDescent="0.3">
      <c r="A124" s="25"/>
      <c r="B124" s="25"/>
      <c r="C124" s="25"/>
      <c r="D124" s="25"/>
      <c r="E124" s="25"/>
      <c r="F124" s="25"/>
      <c r="G124" s="25"/>
      <c r="H124" s="25"/>
      <c r="I124" s="52">
        <f>J119+J120+J121+J122</f>
        <v>126466.56999999999</v>
      </c>
      <c r="J124" s="52"/>
      <c r="K124" s="26">
        <f>IF(Source!I45&lt;&gt;0, ROUND(I124/Source!I45, 2), 0)</f>
        <v>371960.5</v>
      </c>
      <c r="P124" s="23">
        <f>I124</f>
        <v>126466.56999999999</v>
      </c>
    </row>
    <row r="125" spans="1:22" ht="28" x14ac:dyDescent="0.35">
      <c r="A125" s="18">
        <v>14</v>
      </c>
      <c r="B125" s="18" t="str">
        <f>Source!F46</f>
        <v>5.4-1202-1-1/1</v>
      </c>
      <c r="C125" s="18" t="str">
        <f>Source!G46</f>
        <v>Рыхление смерзшегося снега по краю газона</v>
      </c>
      <c r="D125" s="19" t="str">
        <f>Source!H46</f>
        <v>м3</v>
      </c>
      <c r="E125" s="8">
        <f>Source!I46</f>
        <v>2537.4299999999998</v>
      </c>
      <c r="F125" s="21"/>
      <c r="G125" s="20"/>
      <c r="H125" s="8"/>
      <c r="I125" s="8"/>
      <c r="J125" s="21"/>
      <c r="K125" s="21"/>
      <c r="Q125">
        <f>ROUND((Source!BZ46/100)*ROUND((Source!AF46*Source!AV46)*Source!I46, 2), 2)</f>
        <v>185115.67</v>
      </c>
      <c r="R125">
        <f>Source!X46</f>
        <v>185115.67</v>
      </c>
      <c r="S125">
        <f>ROUND((Source!CA46/100)*ROUND((Source!AF46*Source!AV46)*Source!I46, 2), 2)</f>
        <v>26445.1</v>
      </c>
      <c r="T125">
        <f>Source!Y46</f>
        <v>26445.1</v>
      </c>
      <c r="U125">
        <f>ROUND((175/100)*ROUND((Source!AE46*Source!AV46)*Source!I46, 2), 2)</f>
        <v>0</v>
      </c>
      <c r="V125">
        <f>ROUND((108/100)*ROUND(Source!CS46*Source!I46, 2), 2)</f>
        <v>0</v>
      </c>
    </row>
    <row r="126" spans="1:22" ht="14.5" x14ac:dyDescent="0.35">
      <c r="A126" s="18"/>
      <c r="B126" s="18"/>
      <c r="C126" s="18" t="s">
        <v>355</v>
      </c>
      <c r="D126" s="19"/>
      <c r="E126" s="8"/>
      <c r="F126" s="21">
        <f>Source!AO46</f>
        <v>104.22</v>
      </c>
      <c r="G126" s="20" t="str">
        <f>Source!DG46</f>
        <v/>
      </c>
      <c r="H126" s="8">
        <f>Source!AV46</f>
        <v>1</v>
      </c>
      <c r="I126" s="8">
        <f>IF(Source!BA46&lt;&gt; 0, Source!BA46, 1)</f>
        <v>1</v>
      </c>
      <c r="J126" s="21">
        <f>Source!S46</f>
        <v>264450.95</v>
      </c>
      <c r="K126" s="21"/>
    </row>
    <row r="127" spans="1:22" ht="14.5" x14ac:dyDescent="0.35">
      <c r="A127" s="18"/>
      <c r="B127" s="18"/>
      <c r="C127" s="18" t="s">
        <v>356</v>
      </c>
      <c r="D127" s="19" t="s">
        <v>354</v>
      </c>
      <c r="E127" s="8">
        <f>Source!AT46</f>
        <v>70</v>
      </c>
      <c r="F127" s="21"/>
      <c r="G127" s="20"/>
      <c r="H127" s="8"/>
      <c r="I127" s="8"/>
      <c r="J127" s="21">
        <f>SUM(R125:R126)</f>
        <v>185115.67</v>
      </c>
      <c r="K127" s="21"/>
    </row>
    <row r="128" spans="1:22" ht="14.5" x14ac:dyDescent="0.35">
      <c r="A128" s="18"/>
      <c r="B128" s="18"/>
      <c r="C128" s="18" t="s">
        <v>357</v>
      </c>
      <c r="D128" s="19" t="s">
        <v>354</v>
      </c>
      <c r="E128" s="8">
        <f>Source!AU46</f>
        <v>10</v>
      </c>
      <c r="F128" s="21"/>
      <c r="G128" s="20"/>
      <c r="H128" s="8"/>
      <c r="I128" s="8"/>
      <c r="J128" s="21">
        <f>SUM(T125:T127)</f>
        <v>26445.1</v>
      </c>
      <c r="K128" s="21"/>
    </row>
    <row r="129" spans="1:32" ht="14.5" x14ac:dyDescent="0.35">
      <c r="A129" s="18"/>
      <c r="B129" s="18"/>
      <c r="C129" s="18" t="s">
        <v>358</v>
      </c>
      <c r="D129" s="19" t="s">
        <v>359</v>
      </c>
      <c r="E129" s="8">
        <f>Source!AQ46</f>
        <v>0.23</v>
      </c>
      <c r="F129" s="21"/>
      <c r="G129" s="20" t="str">
        <f>Source!DI46</f>
        <v/>
      </c>
      <c r="H129" s="8">
        <f>Source!AV46</f>
        <v>1</v>
      </c>
      <c r="I129" s="8"/>
      <c r="J129" s="21"/>
      <c r="K129" s="21">
        <f>Source!U46</f>
        <v>583.60889999999995</v>
      </c>
    </row>
    <row r="130" spans="1:32" ht="14" x14ac:dyDescent="0.3">
      <c r="A130" s="25"/>
      <c r="B130" s="25"/>
      <c r="C130" s="25"/>
      <c r="D130" s="25"/>
      <c r="E130" s="25"/>
      <c r="F130" s="25"/>
      <c r="G130" s="25"/>
      <c r="H130" s="25"/>
      <c r="I130" s="52">
        <f>J126+J127+J128</f>
        <v>476011.72</v>
      </c>
      <c r="J130" s="52"/>
      <c r="K130" s="26">
        <f>IF(Source!I46&lt;&gt;0, ROUND(I130/Source!I46, 2), 0)</f>
        <v>187.6</v>
      </c>
      <c r="P130" s="23">
        <f>I130</f>
        <v>476011.72</v>
      </c>
    </row>
    <row r="131" spans="1:32" ht="28" x14ac:dyDescent="0.35">
      <c r="A131" s="18">
        <v>15</v>
      </c>
      <c r="B131" s="18" t="str">
        <f>Source!F47</f>
        <v>5.3-1102-7-1/1</v>
      </c>
      <c r="C131" s="18" t="str">
        <f>Source!G47</f>
        <v>Очистка от снега и мусора контейнерной площадки вручную</v>
      </c>
      <c r="D131" s="19" t="str">
        <f>Source!H47</f>
        <v>100 м2</v>
      </c>
      <c r="E131" s="8">
        <f>Source!I47</f>
        <v>0.3</v>
      </c>
      <c r="F131" s="21"/>
      <c r="G131" s="20"/>
      <c r="H131" s="8"/>
      <c r="I131" s="8"/>
      <c r="J131" s="21"/>
      <c r="K131" s="21"/>
      <c r="Q131">
        <f>ROUND((Source!BZ47/100)*ROUND((Source!AF47*Source!AV47)*Source!I47, 2), 2)</f>
        <v>48810.97</v>
      </c>
      <c r="R131">
        <f>Source!X47</f>
        <v>48810.97</v>
      </c>
      <c r="S131">
        <f>ROUND((Source!CA47/100)*ROUND((Source!AF47*Source!AV47)*Source!I47, 2), 2)</f>
        <v>6973</v>
      </c>
      <c r="T131">
        <f>Source!Y47</f>
        <v>6973</v>
      </c>
      <c r="U131">
        <f>ROUND((175/100)*ROUND((Source!AE47*Source!AV47)*Source!I47, 2), 2)</f>
        <v>0</v>
      </c>
      <c r="V131">
        <f>ROUND((108/100)*ROUND(Source!CS47*Source!I47, 2), 2)</f>
        <v>0</v>
      </c>
    </row>
    <row r="132" spans="1:32" ht="14.5" x14ac:dyDescent="0.35">
      <c r="A132" s="18"/>
      <c r="B132" s="18"/>
      <c r="C132" s="18" t="s">
        <v>355</v>
      </c>
      <c r="D132" s="19"/>
      <c r="E132" s="8"/>
      <c r="F132" s="21">
        <f>Source!AO47</f>
        <v>1400.2</v>
      </c>
      <c r="G132" s="20" t="str">
        <f>Source!DG47</f>
        <v>)*166</v>
      </c>
      <c r="H132" s="8">
        <f>Source!AV47</f>
        <v>1</v>
      </c>
      <c r="I132" s="8">
        <f>IF(Source!BA47&lt;&gt; 0, Source!BA47, 1)</f>
        <v>1</v>
      </c>
      <c r="J132" s="21">
        <f>Source!S47</f>
        <v>69729.960000000006</v>
      </c>
      <c r="K132" s="21"/>
    </row>
    <row r="133" spans="1:32" ht="14.5" x14ac:dyDescent="0.35">
      <c r="A133" s="18"/>
      <c r="B133" s="18"/>
      <c r="C133" s="18" t="s">
        <v>356</v>
      </c>
      <c r="D133" s="19" t="s">
        <v>354</v>
      </c>
      <c r="E133" s="8">
        <f>Source!AT47</f>
        <v>70</v>
      </c>
      <c r="F133" s="21"/>
      <c r="G133" s="20"/>
      <c r="H133" s="8"/>
      <c r="I133" s="8"/>
      <c r="J133" s="21">
        <f>SUM(R131:R132)</f>
        <v>48810.97</v>
      </c>
      <c r="K133" s="21"/>
    </row>
    <row r="134" spans="1:32" ht="14.5" x14ac:dyDescent="0.35">
      <c r="A134" s="18"/>
      <c r="B134" s="18"/>
      <c r="C134" s="18" t="s">
        <v>357</v>
      </c>
      <c r="D134" s="19" t="s">
        <v>354</v>
      </c>
      <c r="E134" s="8">
        <f>Source!AU47</f>
        <v>10</v>
      </c>
      <c r="F134" s="21"/>
      <c r="G134" s="20"/>
      <c r="H134" s="8"/>
      <c r="I134" s="8"/>
      <c r="J134" s="21">
        <f>SUM(T131:T133)</f>
        <v>6973</v>
      </c>
      <c r="K134" s="21"/>
    </row>
    <row r="135" spans="1:32" ht="14.5" x14ac:dyDescent="0.35">
      <c r="A135" s="18"/>
      <c r="B135" s="18"/>
      <c r="C135" s="18" t="s">
        <v>358</v>
      </c>
      <c r="D135" s="19" t="s">
        <v>359</v>
      </c>
      <c r="E135" s="8">
        <f>Source!AQ47</f>
        <v>3.09</v>
      </c>
      <c r="F135" s="21"/>
      <c r="G135" s="20" t="str">
        <f>Source!DI47</f>
        <v>)*166</v>
      </c>
      <c r="H135" s="8">
        <f>Source!AV47</f>
        <v>1</v>
      </c>
      <c r="I135" s="8"/>
      <c r="J135" s="21"/>
      <c r="K135" s="21">
        <f>Source!U47</f>
        <v>153.88199999999998</v>
      </c>
    </row>
    <row r="136" spans="1:32" ht="14" x14ac:dyDescent="0.3">
      <c r="A136" s="25"/>
      <c r="B136" s="25"/>
      <c r="C136" s="25"/>
      <c r="D136" s="25"/>
      <c r="E136" s="25"/>
      <c r="F136" s="25"/>
      <c r="G136" s="25"/>
      <c r="H136" s="25"/>
      <c r="I136" s="52">
        <f>J132+J133+J134</f>
        <v>125513.93000000001</v>
      </c>
      <c r="J136" s="52"/>
      <c r="K136" s="26">
        <f>IF(Source!I47&lt;&gt;0, ROUND(I136/Source!I47, 2), 0)</f>
        <v>418379.77</v>
      </c>
      <c r="P136" s="23">
        <f>I136</f>
        <v>125513.93000000001</v>
      </c>
    </row>
    <row r="138" spans="1:32" ht="14" x14ac:dyDescent="0.3">
      <c r="A138" s="55" t="str">
        <f>CONCATENATE("Итого по подразделу: ",IF(Source!G49&lt;&gt;"Новый подраздел", Source!G49, ""))</f>
        <v>Итого по подразделу: Подраздел: ЗИМНЯЯ УБОРКА</v>
      </c>
      <c r="B138" s="55"/>
      <c r="C138" s="55"/>
      <c r="D138" s="55"/>
      <c r="E138" s="55"/>
      <c r="F138" s="55"/>
      <c r="G138" s="55"/>
      <c r="H138" s="55"/>
      <c r="I138" s="53">
        <f>SUM(P37:P137)</f>
        <v>49390458.319999993</v>
      </c>
      <c r="J138" s="54"/>
      <c r="K138" s="29"/>
      <c r="AF138" s="30" t="str">
        <f>CONCATENATE("Итого по подразделу: ",IF(Source!G49&lt;&gt;"Новый подраздел", Source!G49, ""))</f>
        <v>Итого по подразделу: Подраздел: ЗИМНЯЯ УБОРКА</v>
      </c>
    </row>
    <row r="141" spans="1:32" ht="16.5" x14ac:dyDescent="0.35">
      <c r="A141" s="51" t="str">
        <f>CONCATENATE("Подраздел: ",IF(Source!G79&lt;&gt;"Новый подраздел", Source!G79, ""))</f>
        <v>Подраздел: Подраздел: ЛЕТНЯЯ УБОРКА</v>
      </c>
      <c r="B141" s="51"/>
      <c r="C141" s="51"/>
      <c r="D141" s="51"/>
      <c r="E141" s="51"/>
      <c r="F141" s="51"/>
      <c r="G141" s="51"/>
      <c r="H141" s="51"/>
      <c r="I141" s="51"/>
      <c r="J141" s="51"/>
      <c r="K141" s="51"/>
    </row>
    <row r="142" spans="1:32" ht="42" x14ac:dyDescent="0.35">
      <c r="A142" s="18">
        <v>16</v>
      </c>
      <c r="B142" s="18" t="str">
        <f>Source!F83</f>
        <v>5.3-1101-15-1/1</v>
      </c>
      <c r="C142" s="18" t="str">
        <f>Source!G83</f>
        <v>Подметание тротуаров, придомовых и внутрибольничных проездов средствами малой механизации</v>
      </c>
      <c r="D142" s="19" t="str">
        <f>Source!H83</f>
        <v>1000 м2</v>
      </c>
      <c r="E142" s="8">
        <f>Source!I83</f>
        <v>65.464799999999997</v>
      </c>
      <c r="F142" s="21"/>
      <c r="G142" s="20"/>
      <c r="H142" s="8"/>
      <c r="I142" s="8"/>
      <c r="J142" s="21"/>
      <c r="K142" s="21"/>
      <c r="Q142">
        <f>ROUND((Source!BZ83/100)*ROUND((Source!AF83*Source!AV83)*Source!I83, 2), 2)</f>
        <v>0</v>
      </c>
      <c r="R142">
        <f>Source!X83</f>
        <v>0</v>
      </c>
      <c r="S142">
        <f>ROUND((Source!CA83/100)*ROUND((Source!AF83*Source!AV83)*Source!I83, 2), 2)</f>
        <v>0</v>
      </c>
      <c r="T142">
        <f>Source!Y83</f>
        <v>0</v>
      </c>
      <c r="U142">
        <f>ROUND((175/100)*ROUND((Source!AE83*Source!AV83)*Source!I83, 2), 2)</f>
        <v>4293223.32</v>
      </c>
      <c r="V142">
        <f>ROUND((108/100)*ROUND(Source!CS83*Source!I83, 2), 2)</f>
        <v>2649532.11</v>
      </c>
    </row>
    <row r="143" spans="1:32" ht="14.5" x14ac:dyDescent="0.35">
      <c r="A143" s="18"/>
      <c r="B143" s="18"/>
      <c r="C143" s="18" t="s">
        <v>351</v>
      </c>
      <c r="D143" s="19"/>
      <c r="E143" s="8"/>
      <c r="F143" s="21">
        <f>Source!AM83</f>
        <v>463.65</v>
      </c>
      <c r="G143" s="20" t="str">
        <f>Source!DE83</f>
        <v>)*171</v>
      </c>
      <c r="H143" s="8">
        <f>Source!AV83</f>
        <v>1</v>
      </c>
      <c r="I143" s="8">
        <f>IF(Source!BB83&lt;&gt; 0, Source!BB83, 1)</f>
        <v>1</v>
      </c>
      <c r="J143" s="21">
        <f>Source!Q83</f>
        <v>5190321.0199999996</v>
      </c>
      <c r="K143" s="21"/>
    </row>
    <row r="144" spans="1:32" ht="14.5" x14ac:dyDescent="0.35">
      <c r="A144" s="18"/>
      <c r="B144" s="18"/>
      <c r="C144" s="18" t="s">
        <v>352</v>
      </c>
      <c r="D144" s="19"/>
      <c r="E144" s="8"/>
      <c r="F144" s="21">
        <f>Source!AN83</f>
        <v>219.15</v>
      </c>
      <c r="G144" s="20" t="str">
        <f>Source!DF83</f>
        <v>)*171</v>
      </c>
      <c r="H144" s="8">
        <f>Source!AV83</f>
        <v>1</v>
      </c>
      <c r="I144" s="8">
        <f>IF(Source!BS83&lt;&gt; 0, Source!BS83, 1)</f>
        <v>1</v>
      </c>
      <c r="J144" s="22">
        <f>Source!R83</f>
        <v>2453270.4700000002</v>
      </c>
      <c r="K144" s="21"/>
    </row>
    <row r="145" spans="1:22" ht="14.5" x14ac:dyDescent="0.35">
      <c r="A145" s="18"/>
      <c r="B145" s="18"/>
      <c r="C145" s="18" t="s">
        <v>360</v>
      </c>
      <c r="D145" s="19"/>
      <c r="E145" s="8"/>
      <c r="F145" s="21">
        <f>Source!AL83</f>
        <v>10.96</v>
      </c>
      <c r="G145" s="20" t="str">
        <f>Source!DD83</f>
        <v>)*171</v>
      </c>
      <c r="H145" s="8">
        <f>Source!AW83</f>
        <v>1</v>
      </c>
      <c r="I145" s="8">
        <f>IF(Source!BC83&lt;&gt; 0, Source!BC83, 1)</f>
        <v>1</v>
      </c>
      <c r="J145" s="21">
        <f>Source!P83</f>
        <v>122691.51</v>
      </c>
      <c r="K145" s="21"/>
    </row>
    <row r="146" spans="1:22" ht="14.5" x14ac:dyDescent="0.35">
      <c r="A146" s="18" t="s">
        <v>150</v>
      </c>
      <c r="B146" s="18" t="str">
        <f>Source!F84</f>
        <v>21.1-25-13</v>
      </c>
      <c r="C146" s="18" t="str">
        <f>Source!G84</f>
        <v>Вода</v>
      </c>
      <c r="D146" s="19" t="str">
        <f>Source!H84</f>
        <v>м3</v>
      </c>
      <c r="E146" s="8">
        <f>Source!I84</f>
        <v>-2238.8961599999998</v>
      </c>
      <c r="F146" s="21">
        <f>Source!AK84</f>
        <v>54.81</v>
      </c>
      <c r="G146" s="27" t="s">
        <v>362</v>
      </c>
      <c r="H146" s="8">
        <f>Source!AW84</f>
        <v>1</v>
      </c>
      <c r="I146" s="8">
        <f>IF(Source!BC84&lt;&gt; 0, Source!BC84, 1)</f>
        <v>1</v>
      </c>
      <c r="J146" s="21">
        <f>Source!O84</f>
        <v>-122713.9</v>
      </c>
      <c r="K146" s="21"/>
      <c r="Q146">
        <f>ROUND((Source!BZ84/100)*ROUND((Source!AF84*Source!AV84)*Source!I84, 2), 2)</f>
        <v>0</v>
      </c>
      <c r="R146">
        <f>Source!X84</f>
        <v>0</v>
      </c>
      <c r="S146">
        <f>ROUND((Source!CA84/100)*ROUND((Source!AF84*Source!AV84)*Source!I84, 2), 2)</f>
        <v>0</v>
      </c>
      <c r="T146">
        <f>Source!Y84</f>
        <v>0</v>
      </c>
      <c r="U146">
        <f>ROUND((175/100)*ROUND((Source!AE84*Source!AV84)*Source!I84, 2), 2)</f>
        <v>0</v>
      </c>
      <c r="V146">
        <f>ROUND((108/100)*ROUND(Source!CS84*Source!I84, 2), 2)</f>
        <v>0</v>
      </c>
    </row>
    <row r="147" spans="1:22" ht="14.5" x14ac:dyDescent="0.35">
      <c r="A147" s="18"/>
      <c r="B147" s="18"/>
      <c r="C147" s="18" t="s">
        <v>353</v>
      </c>
      <c r="D147" s="19" t="s">
        <v>354</v>
      </c>
      <c r="E147" s="8">
        <f>108</f>
        <v>108</v>
      </c>
      <c r="F147" s="21"/>
      <c r="G147" s="20"/>
      <c r="H147" s="8"/>
      <c r="I147" s="8"/>
      <c r="J147" s="21">
        <f>SUM(V142:V146)</f>
        <v>2649532.11</v>
      </c>
      <c r="K147" s="21"/>
    </row>
    <row r="148" spans="1:22" ht="14" x14ac:dyDescent="0.3">
      <c r="A148" s="25"/>
      <c r="B148" s="25"/>
      <c r="C148" s="25"/>
      <c r="D148" s="25"/>
      <c r="E148" s="25"/>
      <c r="F148" s="25"/>
      <c r="G148" s="25"/>
      <c r="H148" s="25"/>
      <c r="I148" s="52">
        <f>J143+J145+J147+SUM(J146:J146)</f>
        <v>7839830.7399999984</v>
      </c>
      <c r="J148" s="52"/>
      <c r="K148" s="26">
        <f>IF(Source!I83&lt;&gt;0, ROUND(I148/Source!I83, 2), 0)</f>
        <v>119756.43</v>
      </c>
      <c r="P148" s="23">
        <f>I148</f>
        <v>7839830.7399999984</v>
      </c>
    </row>
    <row r="149" spans="1:22" ht="28" x14ac:dyDescent="0.35">
      <c r="A149" s="18">
        <v>17</v>
      </c>
      <c r="B149" s="18" t="str">
        <f>Source!F85</f>
        <v>5.3-1101-13-1/1</v>
      </c>
      <c r="C149" s="18" t="str">
        <f>Source!G85</f>
        <v>Подметание вручную дорожек и площадок с твердым покрытием</v>
      </c>
      <c r="D149" s="19" t="str">
        <f>Source!H85</f>
        <v>100 м2</v>
      </c>
      <c r="E149" s="8">
        <f>Source!I85</f>
        <v>163.66200000000001</v>
      </c>
      <c r="F149" s="21"/>
      <c r="G149" s="20"/>
      <c r="H149" s="8"/>
      <c r="I149" s="8"/>
      <c r="J149" s="21"/>
      <c r="K149" s="21"/>
      <c r="Q149">
        <f>ROUND((Source!BZ85/100)*ROUND((Source!AF85*Source!AV85)*Source!I85, 2), 2)</f>
        <v>1242811.26</v>
      </c>
      <c r="R149">
        <f>Source!X85</f>
        <v>1242811.26</v>
      </c>
      <c r="S149">
        <f>ROUND((Source!CA85/100)*ROUND((Source!AF85*Source!AV85)*Source!I85, 2), 2)</f>
        <v>177544.47</v>
      </c>
      <c r="T149">
        <f>Source!Y85</f>
        <v>177544.47</v>
      </c>
      <c r="U149">
        <f>ROUND((175/100)*ROUND((Source!AE85*Source!AV85)*Source!I85, 2), 2)</f>
        <v>0</v>
      </c>
      <c r="V149">
        <f>ROUND((108/100)*ROUND(Source!CS85*Source!I85, 2), 2)</f>
        <v>0</v>
      </c>
    </row>
    <row r="150" spans="1:22" ht="14.5" x14ac:dyDescent="0.35">
      <c r="A150" s="18"/>
      <c r="B150" s="18"/>
      <c r="C150" s="18" t="s">
        <v>355</v>
      </c>
      <c r="D150" s="19"/>
      <c r="E150" s="8"/>
      <c r="F150" s="21">
        <f>Source!AO85</f>
        <v>63.44</v>
      </c>
      <c r="G150" s="20" t="str">
        <f>Source!DG85</f>
        <v>)*171</v>
      </c>
      <c r="H150" s="8">
        <f>Source!AV85</f>
        <v>1</v>
      </c>
      <c r="I150" s="8">
        <f>IF(Source!BA85&lt;&gt; 0, Source!BA85, 1)</f>
        <v>1</v>
      </c>
      <c r="J150" s="21">
        <f>Source!S85</f>
        <v>1775444.65</v>
      </c>
      <c r="K150" s="21"/>
    </row>
    <row r="151" spans="1:22" ht="14.5" x14ac:dyDescent="0.35">
      <c r="A151" s="18"/>
      <c r="B151" s="18"/>
      <c r="C151" s="18" t="s">
        <v>356</v>
      </c>
      <c r="D151" s="19" t="s">
        <v>354</v>
      </c>
      <c r="E151" s="8">
        <f>Source!AT85</f>
        <v>70</v>
      </c>
      <c r="F151" s="21"/>
      <c r="G151" s="20"/>
      <c r="H151" s="8"/>
      <c r="I151" s="8"/>
      <c r="J151" s="21">
        <f>SUM(R149:R150)</f>
        <v>1242811.26</v>
      </c>
      <c r="K151" s="21"/>
    </row>
    <row r="152" spans="1:22" ht="14.5" x14ac:dyDescent="0.35">
      <c r="A152" s="18"/>
      <c r="B152" s="18"/>
      <c r="C152" s="18" t="s">
        <v>357</v>
      </c>
      <c r="D152" s="19" t="s">
        <v>354</v>
      </c>
      <c r="E152" s="8">
        <f>Source!AU85</f>
        <v>10</v>
      </c>
      <c r="F152" s="21"/>
      <c r="G152" s="20"/>
      <c r="H152" s="8"/>
      <c r="I152" s="8"/>
      <c r="J152" s="21">
        <f>SUM(T149:T151)</f>
        <v>177544.47</v>
      </c>
      <c r="K152" s="21"/>
    </row>
    <row r="153" spans="1:22" ht="14.5" x14ac:dyDescent="0.35">
      <c r="A153" s="18"/>
      <c r="B153" s="18"/>
      <c r="C153" s="18" t="s">
        <v>358</v>
      </c>
      <c r="D153" s="19" t="s">
        <v>359</v>
      </c>
      <c r="E153" s="8">
        <f>Source!AQ85</f>
        <v>0.14000000000000001</v>
      </c>
      <c r="F153" s="21"/>
      <c r="G153" s="20" t="str">
        <f>Source!DI85</f>
        <v>)*171</v>
      </c>
      <c r="H153" s="8">
        <f>Source!AV85</f>
        <v>1</v>
      </c>
      <c r="I153" s="8"/>
      <c r="J153" s="21"/>
      <c r="K153" s="21">
        <f>Source!U85</f>
        <v>3918.0682800000004</v>
      </c>
    </row>
    <row r="154" spans="1:22" ht="14" x14ac:dyDescent="0.3">
      <c r="A154" s="25"/>
      <c r="B154" s="25"/>
      <c r="C154" s="25"/>
      <c r="D154" s="25"/>
      <c r="E154" s="25"/>
      <c r="F154" s="25"/>
      <c r="G154" s="25"/>
      <c r="H154" s="25"/>
      <c r="I154" s="52">
        <f>J150+J151+J152</f>
        <v>3195800.3800000004</v>
      </c>
      <c r="J154" s="52"/>
      <c r="K154" s="26">
        <f>IF(Source!I85&lt;&gt;0, ROUND(I154/Source!I85, 2), 0)</f>
        <v>19526.830000000002</v>
      </c>
      <c r="P154" s="23">
        <f>I154</f>
        <v>3195800.3800000004</v>
      </c>
    </row>
    <row r="155" spans="1:22" ht="42" x14ac:dyDescent="0.35">
      <c r="A155" s="18">
        <v>18</v>
      </c>
      <c r="B155" s="18" t="str">
        <f>Source!F86</f>
        <v>5.3-1101-13-2/1</v>
      </c>
      <c r="C155" s="18" t="str">
        <f>Source!G86</f>
        <v>Подметание вручную дорожек и площадок с грунтовым и щебеночным покрытием</v>
      </c>
      <c r="D155" s="19" t="str">
        <f>Source!H86</f>
        <v>100 м2</v>
      </c>
      <c r="E155" s="8">
        <f>Source!I86</f>
        <v>0.94550000000000001</v>
      </c>
      <c r="F155" s="21"/>
      <c r="G155" s="20"/>
      <c r="H155" s="8"/>
      <c r="I155" s="8"/>
      <c r="J155" s="21"/>
      <c r="K155" s="21"/>
      <c r="Q155">
        <f>ROUND((Source!BZ86/100)*ROUND((Source!AF86*Source!AV86)*Source!I86, 2), 2)</f>
        <v>12307.93</v>
      </c>
      <c r="R155">
        <f>Source!X86</f>
        <v>12307.93</v>
      </c>
      <c r="S155">
        <f>ROUND((Source!CA86/100)*ROUND((Source!AF86*Source!AV86)*Source!I86, 2), 2)</f>
        <v>1758.28</v>
      </c>
      <c r="T155">
        <f>Source!Y86</f>
        <v>1758.28</v>
      </c>
      <c r="U155">
        <f>ROUND((175/100)*ROUND((Source!AE86*Source!AV86)*Source!I86, 2), 2)</f>
        <v>0</v>
      </c>
      <c r="V155">
        <f>ROUND((108/100)*ROUND(Source!CS86*Source!I86, 2), 2)</f>
        <v>0</v>
      </c>
    </row>
    <row r="156" spans="1:22" x14ac:dyDescent="0.25">
      <c r="C156" s="28" t="str">
        <f>"Объем: "&amp;Source!I86&amp;"=94,55/"&amp;"100"</f>
        <v>Объем: 0,9455=94,55/100</v>
      </c>
    </row>
    <row r="157" spans="1:22" ht="14.5" x14ac:dyDescent="0.35">
      <c r="A157" s="18"/>
      <c r="B157" s="18"/>
      <c r="C157" s="18" t="s">
        <v>355</v>
      </c>
      <c r="D157" s="19"/>
      <c r="E157" s="8"/>
      <c r="F157" s="21">
        <f>Source!AO86</f>
        <v>108.75</v>
      </c>
      <c r="G157" s="20" t="str">
        <f>Source!DG86</f>
        <v>)*171</v>
      </c>
      <c r="H157" s="8">
        <f>Source!AV86</f>
        <v>1</v>
      </c>
      <c r="I157" s="8">
        <f>IF(Source!BA86&lt;&gt; 0, Source!BA86, 1)</f>
        <v>1</v>
      </c>
      <c r="J157" s="21">
        <f>Source!S86</f>
        <v>17582.75</v>
      </c>
      <c r="K157" s="21"/>
    </row>
    <row r="158" spans="1:22" ht="14.5" x14ac:dyDescent="0.35">
      <c r="A158" s="18"/>
      <c r="B158" s="18"/>
      <c r="C158" s="18" t="s">
        <v>356</v>
      </c>
      <c r="D158" s="19" t="s">
        <v>354</v>
      </c>
      <c r="E158" s="8">
        <f>Source!AT86</f>
        <v>70</v>
      </c>
      <c r="F158" s="21"/>
      <c r="G158" s="20"/>
      <c r="H158" s="8"/>
      <c r="I158" s="8"/>
      <c r="J158" s="21">
        <f>SUM(R155:R157)</f>
        <v>12307.93</v>
      </c>
      <c r="K158" s="21"/>
    </row>
    <row r="159" spans="1:22" ht="14.5" x14ac:dyDescent="0.35">
      <c r="A159" s="18"/>
      <c r="B159" s="18"/>
      <c r="C159" s="18" t="s">
        <v>357</v>
      </c>
      <c r="D159" s="19" t="s">
        <v>354</v>
      </c>
      <c r="E159" s="8">
        <f>Source!AU86</f>
        <v>10</v>
      </c>
      <c r="F159" s="21"/>
      <c r="G159" s="20"/>
      <c r="H159" s="8"/>
      <c r="I159" s="8"/>
      <c r="J159" s="21">
        <f>SUM(T155:T158)</f>
        <v>1758.28</v>
      </c>
      <c r="K159" s="21"/>
    </row>
    <row r="160" spans="1:22" ht="14.5" x14ac:dyDescent="0.35">
      <c r="A160" s="18"/>
      <c r="B160" s="18"/>
      <c r="C160" s="18" t="s">
        <v>358</v>
      </c>
      <c r="D160" s="19" t="s">
        <v>359</v>
      </c>
      <c r="E160" s="8">
        <f>Source!AQ86</f>
        <v>0.24</v>
      </c>
      <c r="F160" s="21"/>
      <c r="G160" s="20" t="str">
        <f>Source!DI86</f>
        <v>)*171</v>
      </c>
      <c r="H160" s="8">
        <f>Source!AV86</f>
        <v>1</v>
      </c>
      <c r="I160" s="8"/>
      <c r="J160" s="21"/>
      <c r="K160" s="21">
        <f>Source!U86</f>
        <v>38.803319999999999</v>
      </c>
    </row>
    <row r="161" spans="1:22" ht="14" x14ac:dyDescent="0.3">
      <c r="A161" s="25"/>
      <c r="B161" s="25"/>
      <c r="C161" s="25"/>
      <c r="D161" s="25"/>
      <c r="E161" s="25"/>
      <c r="F161" s="25"/>
      <c r="G161" s="25"/>
      <c r="H161" s="25"/>
      <c r="I161" s="52">
        <f>J157+J158+J159</f>
        <v>31648.959999999999</v>
      </c>
      <c r="J161" s="52"/>
      <c r="K161" s="26">
        <f>IF(Source!I86&lt;&gt;0, ROUND(I161/Source!I86, 2), 0)</f>
        <v>33473.25</v>
      </c>
      <c r="P161" s="23">
        <f>I161</f>
        <v>31648.959999999999</v>
      </c>
    </row>
    <row r="162" spans="1:22" ht="42" x14ac:dyDescent="0.35">
      <c r="A162" s="18">
        <v>19</v>
      </c>
      <c r="B162" s="18" t="str">
        <f>Source!F87</f>
        <v>5.3-1101-19-1/1</v>
      </c>
      <c r="C162" s="18" t="str">
        <f>Source!G87</f>
        <v>Уборка полиуретанового покрытия игровых площадок, спортивных дорожек и площадок вручную</v>
      </c>
      <c r="D162" s="19" t="str">
        <f>Source!H87</f>
        <v>100 м2</v>
      </c>
      <c r="E162" s="8">
        <f>Source!I87</f>
        <v>7.16</v>
      </c>
      <c r="F162" s="21"/>
      <c r="G162" s="20"/>
      <c r="H162" s="8"/>
      <c r="I162" s="8"/>
      <c r="J162" s="21"/>
      <c r="K162" s="21"/>
      <c r="Q162">
        <f>ROUND((Source!BZ87/100)*ROUND((Source!AF87*Source!AV87)*Source!I87, 2), 2)</f>
        <v>64201.77</v>
      </c>
      <c r="R162">
        <f>Source!X87</f>
        <v>64201.77</v>
      </c>
      <c r="S162">
        <f>ROUND((Source!CA87/100)*ROUND((Source!AF87*Source!AV87)*Source!I87, 2), 2)</f>
        <v>9171.68</v>
      </c>
      <c r="T162">
        <f>Source!Y87</f>
        <v>9171.68</v>
      </c>
      <c r="U162">
        <f>ROUND((175/100)*ROUND((Source!AE87*Source!AV87)*Source!I87, 2), 2)</f>
        <v>0</v>
      </c>
      <c r="V162">
        <f>ROUND((108/100)*ROUND(Source!CS87*Source!I87, 2), 2)</f>
        <v>0</v>
      </c>
    </row>
    <row r="163" spans="1:22" ht="14.5" x14ac:dyDescent="0.35">
      <c r="A163" s="18"/>
      <c r="B163" s="18"/>
      <c r="C163" s="18" t="s">
        <v>355</v>
      </c>
      <c r="D163" s="19"/>
      <c r="E163" s="8"/>
      <c r="F163" s="21">
        <f>Source!AO87</f>
        <v>74.91</v>
      </c>
      <c r="G163" s="20" t="str">
        <f>Source!DG87</f>
        <v>)*171</v>
      </c>
      <c r="H163" s="8">
        <f>Source!AV87</f>
        <v>1</v>
      </c>
      <c r="I163" s="8">
        <f>IF(Source!BA87&lt;&gt; 0, Source!BA87, 1)</f>
        <v>1</v>
      </c>
      <c r="J163" s="21">
        <f>Source!S87</f>
        <v>91716.81</v>
      </c>
      <c r="K163" s="21"/>
    </row>
    <row r="164" spans="1:22" ht="14.5" x14ac:dyDescent="0.35">
      <c r="A164" s="18"/>
      <c r="B164" s="18"/>
      <c r="C164" s="18" t="s">
        <v>360</v>
      </c>
      <c r="D164" s="19"/>
      <c r="E164" s="8"/>
      <c r="F164" s="21">
        <f>Source!AL87</f>
        <v>2.75</v>
      </c>
      <c r="G164" s="20" t="str">
        <f>Source!DD87</f>
        <v>)*171</v>
      </c>
      <c r="H164" s="8">
        <f>Source!AW87</f>
        <v>1</v>
      </c>
      <c r="I164" s="8">
        <f>IF(Source!BC87&lt;&gt; 0, Source!BC87, 1)</f>
        <v>1</v>
      </c>
      <c r="J164" s="21">
        <f>Source!P87</f>
        <v>3366.99</v>
      </c>
      <c r="K164" s="21"/>
    </row>
    <row r="165" spans="1:22" ht="14.5" x14ac:dyDescent="0.35">
      <c r="A165" s="18"/>
      <c r="B165" s="18"/>
      <c r="C165" s="18" t="s">
        <v>356</v>
      </c>
      <c r="D165" s="19" t="s">
        <v>354</v>
      </c>
      <c r="E165" s="8">
        <f>Source!AT87</f>
        <v>70</v>
      </c>
      <c r="F165" s="21"/>
      <c r="G165" s="20"/>
      <c r="H165" s="8"/>
      <c r="I165" s="8"/>
      <c r="J165" s="21">
        <f>SUM(R162:R164)</f>
        <v>64201.77</v>
      </c>
      <c r="K165" s="21"/>
    </row>
    <row r="166" spans="1:22" ht="14.5" x14ac:dyDescent="0.35">
      <c r="A166" s="18"/>
      <c r="B166" s="18"/>
      <c r="C166" s="18" t="s">
        <v>357</v>
      </c>
      <c r="D166" s="19" t="s">
        <v>354</v>
      </c>
      <c r="E166" s="8">
        <f>Source!AU87</f>
        <v>10</v>
      </c>
      <c r="F166" s="21"/>
      <c r="G166" s="20"/>
      <c r="H166" s="8"/>
      <c r="I166" s="8"/>
      <c r="J166" s="21">
        <f>SUM(T162:T165)</f>
        <v>9171.68</v>
      </c>
      <c r="K166" s="21"/>
    </row>
    <row r="167" spans="1:22" ht="14.5" x14ac:dyDescent="0.35">
      <c r="A167" s="18"/>
      <c r="B167" s="18"/>
      <c r="C167" s="18" t="s">
        <v>358</v>
      </c>
      <c r="D167" s="19" t="s">
        <v>359</v>
      </c>
      <c r="E167" s="8">
        <f>Source!AQ87</f>
        <v>0.23</v>
      </c>
      <c r="F167" s="21"/>
      <c r="G167" s="20" t="str">
        <f>Source!DI87</f>
        <v>)*171</v>
      </c>
      <c r="H167" s="8">
        <f>Source!AV87</f>
        <v>1</v>
      </c>
      <c r="I167" s="8"/>
      <c r="J167" s="21"/>
      <c r="K167" s="21">
        <f>Source!U87</f>
        <v>281.6028</v>
      </c>
    </row>
    <row r="168" spans="1:22" ht="14" x14ac:dyDescent="0.3">
      <c r="A168" s="25"/>
      <c r="B168" s="25"/>
      <c r="C168" s="25"/>
      <c r="D168" s="25"/>
      <c r="E168" s="25"/>
      <c r="F168" s="25"/>
      <c r="G168" s="25"/>
      <c r="H168" s="25"/>
      <c r="I168" s="52">
        <f>J163+J164+J165+J166</f>
        <v>168457.25</v>
      </c>
      <c r="J168" s="52"/>
      <c r="K168" s="26">
        <f>IF(Source!I87&lt;&gt;0, ROUND(I168/Source!I87, 2), 0)</f>
        <v>23527.55</v>
      </c>
      <c r="P168" s="23">
        <f>I168</f>
        <v>168457.25</v>
      </c>
    </row>
    <row r="169" spans="1:22" ht="42" x14ac:dyDescent="0.35">
      <c r="A169" s="18">
        <v>20</v>
      </c>
      <c r="B169" s="18" t="str">
        <f>Source!F88</f>
        <v>5.3-1101-15-4/1</v>
      </c>
      <c r="C169" s="18" t="str">
        <f>Source!G88</f>
        <v>Полив тротуаров, придомовых и внутрибольничных проездов средствами малой механизации</v>
      </c>
      <c r="D169" s="19" t="str">
        <f>Source!H88</f>
        <v>1000 м2</v>
      </c>
      <c r="E169" s="8">
        <f>Source!I88</f>
        <v>81.831000000000003</v>
      </c>
      <c r="F169" s="21"/>
      <c r="G169" s="20"/>
      <c r="H169" s="8"/>
      <c r="I169" s="8"/>
      <c r="J169" s="21"/>
      <c r="K169" s="21"/>
      <c r="Q169">
        <f>ROUND((Source!BZ88/100)*ROUND((Source!AF88*Source!AV88)*Source!I88, 2), 2)</f>
        <v>0</v>
      </c>
      <c r="R169">
        <f>Source!X88</f>
        <v>0</v>
      </c>
      <c r="S169">
        <f>ROUND((Source!CA88/100)*ROUND((Source!AF88*Source!AV88)*Source!I88, 2), 2)</f>
        <v>0</v>
      </c>
      <c r="T169">
        <f>Source!Y88</f>
        <v>0</v>
      </c>
      <c r="U169">
        <f>ROUND((175/100)*ROUND((Source!AE88*Source!AV88)*Source!I88, 2), 2)</f>
        <v>506957.36</v>
      </c>
      <c r="V169">
        <f>ROUND((108/100)*ROUND(Source!CS88*Source!I88, 2), 2)</f>
        <v>312865.11</v>
      </c>
    </row>
    <row r="170" spans="1:22" ht="14.5" x14ac:dyDescent="0.35">
      <c r="A170" s="18"/>
      <c r="B170" s="18"/>
      <c r="C170" s="18" t="s">
        <v>351</v>
      </c>
      <c r="D170" s="19"/>
      <c r="E170" s="8"/>
      <c r="F170" s="21">
        <f>Source!AM88</f>
        <v>748.98</v>
      </c>
      <c r="G170" s="20" t="str">
        <f>Source!DE88</f>
        <v>)*10</v>
      </c>
      <c r="H170" s="8">
        <f>Source!AV88</f>
        <v>1</v>
      </c>
      <c r="I170" s="8">
        <f>IF(Source!BB88&lt;&gt; 0, Source!BB88, 1)</f>
        <v>1</v>
      </c>
      <c r="J170" s="21">
        <f>Source!Q88</f>
        <v>612897.81999999995</v>
      </c>
      <c r="K170" s="21"/>
    </row>
    <row r="171" spans="1:22" ht="14.5" x14ac:dyDescent="0.35">
      <c r="A171" s="18"/>
      <c r="B171" s="18"/>
      <c r="C171" s="18" t="s">
        <v>352</v>
      </c>
      <c r="D171" s="19"/>
      <c r="E171" s="8"/>
      <c r="F171" s="21">
        <f>Source!AN88</f>
        <v>354.01</v>
      </c>
      <c r="G171" s="20" t="str">
        <f>Source!DF88</f>
        <v>)*10</v>
      </c>
      <c r="H171" s="8">
        <f>Source!AV88</f>
        <v>1</v>
      </c>
      <c r="I171" s="8">
        <f>IF(Source!BS88&lt;&gt; 0, Source!BS88, 1)</f>
        <v>1</v>
      </c>
      <c r="J171" s="22">
        <f>Source!R88</f>
        <v>289689.92</v>
      </c>
      <c r="K171" s="21"/>
    </row>
    <row r="172" spans="1:22" ht="14.5" x14ac:dyDescent="0.35">
      <c r="A172" s="18"/>
      <c r="B172" s="18"/>
      <c r="C172" s="18" t="s">
        <v>360</v>
      </c>
      <c r="D172" s="19"/>
      <c r="E172" s="8"/>
      <c r="F172" s="21">
        <f>Source!AL88</f>
        <v>19.18</v>
      </c>
      <c r="G172" s="20" t="str">
        <f>Source!DD88</f>
        <v>)*10</v>
      </c>
      <c r="H172" s="8">
        <f>Source!AW88</f>
        <v>1</v>
      </c>
      <c r="I172" s="8">
        <f>IF(Source!BC88&lt;&gt; 0, Source!BC88, 1)</f>
        <v>1</v>
      </c>
      <c r="J172" s="21">
        <f>Source!P88</f>
        <v>15695.19</v>
      </c>
      <c r="K172" s="21"/>
    </row>
    <row r="173" spans="1:22" ht="14.5" x14ac:dyDescent="0.35">
      <c r="A173" s="18" t="s">
        <v>162</v>
      </c>
      <c r="B173" s="18" t="str">
        <f>Source!F89</f>
        <v>21.1-25-13</v>
      </c>
      <c r="C173" s="18" t="str">
        <f>Source!G89</f>
        <v>Вода</v>
      </c>
      <c r="D173" s="19" t="str">
        <f>Source!H89</f>
        <v>м3</v>
      </c>
      <c r="E173" s="8">
        <f>Source!I89</f>
        <v>-286.4085</v>
      </c>
      <c r="F173" s="21">
        <f>Source!AK89</f>
        <v>54.81</v>
      </c>
      <c r="G173" s="27" t="s">
        <v>363</v>
      </c>
      <c r="H173" s="8">
        <f>Source!AW89</f>
        <v>1</v>
      </c>
      <c r="I173" s="8">
        <f>IF(Source!BC89&lt;&gt; 0, Source!BC89, 1)</f>
        <v>1</v>
      </c>
      <c r="J173" s="21">
        <f>Source!O89</f>
        <v>-15698.05</v>
      </c>
      <c r="K173" s="21"/>
      <c r="Q173">
        <f>ROUND((Source!BZ89/100)*ROUND((Source!AF89*Source!AV89)*Source!I89, 2), 2)</f>
        <v>0</v>
      </c>
      <c r="R173">
        <f>Source!X89</f>
        <v>0</v>
      </c>
      <c r="S173">
        <f>ROUND((Source!CA89/100)*ROUND((Source!AF89*Source!AV89)*Source!I89, 2), 2)</f>
        <v>0</v>
      </c>
      <c r="T173">
        <f>Source!Y89</f>
        <v>0</v>
      </c>
      <c r="U173">
        <f>ROUND((175/100)*ROUND((Source!AE89*Source!AV89)*Source!I89, 2), 2)</f>
        <v>0</v>
      </c>
      <c r="V173">
        <f>ROUND((108/100)*ROUND(Source!CS89*Source!I89, 2), 2)</f>
        <v>0</v>
      </c>
    </row>
    <row r="174" spans="1:22" ht="14.5" x14ac:dyDescent="0.35">
      <c r="A174" s="18"/>
      <c r="B174" s="18"/>
      <c r="C174" s="18" t="s">
        <v>353</v>
      </c>
      <c r="D174" s="19" t="s">
        <v>354</v>
      </c>
      <c r="E174" s="8">
        <f>108</f>
        <v>108</v>
      </c>
      <c r="F174" s="21"/>
      <c r="G174" s="20"/>
      <c r="H174" s="8"/>
      <c r="I174" s="8"/>
      <c r="J174" s="21">
        <f>SUM(V169:V173)</f>
        <v>312865.11</v>
      </c>
      <c r="K174" s="21"/>
    </row>
    <row r="175" spans="1:22" ht="14" x14ac:dyDescent="0.3">
      <c r="A175" s="25"/>
      <c r="B175" s="25"/>
      <c r="C175" s="25"/>
      <c r="D175" s="25"/>
      <c r="E175" s="25"/>
      <c r="F175" s="25"/>
      <c r="G175" s="25"/>
      <c r="H175" s="25"/>
      <c r="I175" s="52">
        <f>J170+J172+J174+SUM(J173:J173)</f>
        <v>925760.06999999983</v>
      </c>
      <c r="J175" s="52"/>
      <c r="K175" s="26">
        <f>IF(Source!I88&lt;&gt;0, ROUND(I175/Source!I88, 2), 0)</f>
        <v>11313.07</v>
      </c>
      <c r="P175" s="23">
        <f>I175</f>
        <v>925760.06999999983</v>
      </c>
    </row>
    <row r="176" spans="1:22" ht="28" x14ac:dyDescent="0.35">
      <c r="A176" s="18">
        <v>21</v>
      </c>
      <c r="B176" s="18" t="str">
        <f>Source!F92</f>
        <v>5.3-1101-10-1/1</v>
      </c>
      <c r="C176" s="18" t="str">
        <f>Source!G92</f>
        <v>Протирка садовых диванов и скамеек</v>
      </c>
      <c r="D176" s="19" t="str">
        <f>Source!H92</f>
        <v>100 м2</v>
      </c>
      <c r="E176" s="8">
        <f>Source!I92</f>
        <v>0.67079999999999995</v>
      </c>
      <c r="F176" s="21"/>
      <c r="G176" s="20"/>
      <c r="H176" s="8"/>
      <c r="I176" s="8"/>
      <c r="J176" s="21"/>
      <c r="K176" s="21"/>
      <c r="Q176">
        <f>ROUND((Source!BZ92/100)*ROUND((Source!AF92*Source!AV92)*Source!I92, 2), 2)</f>
        <v>21224.49</v>
      </c>
      <c r="R176">
        <f>Source!X92</f>
        <v>21224.49</v>
      </c>
      <c r="S176">
        <f>ROUND((Source!CA92/100)*ROUND((Source!AF92*Source!AV92)*Source!I92, 2), 2)</f>
        <v>3032.07</v>
      </c>
      <c r="T176">
        <f>Source!Y92</f>
        <v>3032.07</v>
      </c>
      <c r="U176">
        <f>ROUND((175/100)*ROUND((Source!AE92*Source!AV92)*Source!I92, 2), 2)</f>
        <v>0</v>
      </c>
      <c r="V176">
        <f>ROUND((108/100)*ROUND(Source!CS92*Source!I92, 2), 2)</f>
        <v>0</v>
      </c>
    </row>
    <row r="177" spans="1:22" ht="14.5" x14ac:dyDescent="0.35">
      <c r="A177" s="18"/>
      <c r="B177" s="18"/>
      <c r="C177" s="18" t="s">
        <v>355</v>
      </c>
      <c r="D177" s="19"/>
      <c r="E177" s="8"/>
      <c r="F177" s="21">
        <f>Source!AO92</f>
        <v>2378.9899999999998</v>
      </c>
      <c r="G177" s="20" t="str">
        <f>Source!DG92</f>
        <v>)*19</v>
      </c>
      <c r="H177" s="8">
        <f>Source!AV92</f>
        <v>1</v>
      </c>
      <c r="I177" s="8">
        <f>IF(Source!BA92&lt;&gt; 0, Source!BA92, 1)</f>
        <v>1</v>
      </c>
      <c r="J177" s="21">
        <f>Source!S92</f>
        <v>30320.7</v>
      </c>
      <c r="K177" s="21"/>
    </row>
    <row r="178" spans="1:22" ht="14.5" x14ac:dyDescent="0.35">
      <c r="A178" s="18"/>
      <c r="B178" s="18"/>
      <c r="C178" s="18" t="s">
        <v>360</v>
      </c>
      <c r="D178" s="19"/>
      <c r="E178" s="8"/>
      <c r="F178" s="21">
        <f>Source!AL92</f>
        <v>1.96</v>
      </c>
      <c r="G178" s="20" t="str">
        <f>Source!DD92</f>
        <v>)*19</v>
      </c>
      <c r="H178" s="8">
        <f>Source!AW92</f>
        <v>1</v>
      </c>
      <c r="I178" s="8">
        <f>IF(Source!BC92&lt;&gt; 0, Source!BC92, 1)</f>
        <v>1</v>
      </c>
      <c r="J178" s="21">
        <f>Source!P92</f>
        <v>24.98</v>
      </c>
      <c r="K178" s="21"/>
    </row>
    <row r="179" spans="1:22" ht="14.5" x14ac:dyDescent="0.35">
      <c r="A179" s="18"/>
      <c r="B179" s="18"/>
      <c r="C179" s="18" t="s">
        <v>356</v>
      </c>
      <c r="D179" s="19" t="s">
        <v>354</v>
      </c>
      <c r="E179" s="8">
        <f>Source!AT92</f>
        <v>70</v>
      </c>
      <c r="F179" s="21"/>
      <c r="G179" s="20"/>
      <c r="H179" s="8"/>
      <c r="I179" s="8"/>
      <c r="J179" s="21">
        <f>SUM(R176:R178)</f>
        <v>21224.49</v>
      </c>
      <c r="K179" s="21"/>
    </row>
    <row r="180" spans="1:22" ht="14.5" x14ac:dyDescent="0.35">
      <c r="A180" s="18"/>
      <c r="B180" s="18"/>
      <c r="C180" s="18" t="s">
        <v>357</v>
      </c>
      <c r="D180" s="19" t="s">
        <v>354</v>
      </c>
      <c r="E180" s="8">
        <f>Source!AU92</f>
        <v>10</v>
      </c>
      <c r="F180" s="21"/>
      <c r="G180" s="20"/>
      <c r="H180" s="8"/>
      <c r="I180" s="8"/>
      <c r="J180" s="21">
        <f>SUM(T176:T179)</f>
        <v>3032.07</v>
      </c>
      <c r="K180" s="21"/>
    </row>
    <row r="181" spans="1:22" ht="14.5" x14ac:dyDescent="0.35">
      <c r="A181" s="18"/>
      <c r="B181" s="18"/>
      <c r="C181" s="18" t="s">
        <v>358</v>
      </c>
      <c r="D181" s="19" t="s">
        <v>359</v>
      </c>
      <c r="E181" s="8">
        <f>Source!AQ92</f>
        <v>5.25</v>
      </c>
      <c r="F181" s="21"/>
      <c r="G181" s="20" t="str">
        <f>Source!DI92</f>
        <v>)*19</v>
      </c>
      <c r="H181" s="8">
        <f>Source!AV92</f>
        <v>1</v>
      </c>
      <c r="I181" s="8"/>
      <c r="J181" s="21"/>
      <c r="K181" s="21">
        <f>Source!U92</f>
        <v>66.912300000000002</v>
      </c>
    </row>
    <row r="182" spans="1:22" ht="14" x14ac:dyDescent="0.3">
      <c r="A182" s="25"/>
      <c r="B182" s="25"/>
      <c r="C182" s="25"/>
      <c r="D182" s="25"/>
      <c r="E182" s="25"/>
      <c r="F182" s="25"/>
      <c r="G182" s="25"/>
      <c r="H182" s="25"/>
      <c r="I182" s="52">
        <f>J177+J178+J179+J180</f>
        <v>54602.239999999998</v>
      </c>
      <c r="J182" s="52"/>
      <c r="K182" s="26">
        <f>IF(Source!I92&lt;&gt;0, ROUND(I182/Source!I92, 2), 0)</f>
        <v>81398.69</v>
      </c>
      <c r="P182" s="23">
        <f>I182</f>
        <v>54602.239999999998</v>
      </c>
    </row>
    <row r="183" spans="1:22" ht="42" x14ac:dyDescent="0.35">
      <c r="A183" s="18">
        <v>22</v>
      </c>
      <c r="B183" s="18" t="str">
        <f>Source!F93</f>
        <v>5.3-1101-12-1/1</v>
      </c>
      <c r="C183" s="18" t="str">
        <f>Source!G93</f>
        <v>Уход за урнами на придомовых и внутрибольничных территориях, очистка урн опрокидывающихся от мусора</v>
      </c>
      <c r="D183" s="19" t="str">
        <f>Source!H93</f>
        <v>100 шт.</v>
      </c>
      <c r="E183" s="8">
        <f>Source!I93</f>
        <v>0.34</v>
      </c>
      <c r="F183" s="21"/>
      <c r="G183" s="20"/>
      <c r="H183" s="8"/>
      <c r="I183" s="8"/>
      <c r="J183" s="21"/>
      <c r="K183" s="21"/>
      <c r="Q183">
        <f>ROUND((Source!BZ93/100)*ROUND((Source!AF93*Source!AV93)*Source!I93, 2), 2)</f>
        <v>48343.76</v>
      </c>
      <c r="R183">
        <f>Source!X93</f>
        <v>48343.76</v>
      </c>
      <c r="S183">
        <f>ROUND((Source!CA93/100)*ROUND((Source!AF93*Source!AV93)*Source!I93, 2), 2)</f>
        <v>6906.25</v>
      </c>
      <c r="T183">
        <f>Source!Y93</f>
        <v>6906.25</v>
      </c>
      <c r="U183">
        <f>ROUND((175/100)*ROUND((Source!AE93*Source!AV93)*Source!I93, 2), 2)</f>
        <v>0</v>
      </c>
      <c r="V183">
        <f>ROUND((108/100)*ROUND(Source!CS93*Source!I93, 2), 2)</f>
        <v>0</v>
      </c>
    </row>
    <row r="184" spans="1:22" ht="14.5" x14ac:dyDescent="0.35">
      <c r="A184" s="18"/>
      <c r="B184" s="18"/>
      <c r="C184" s="18" t="s">
        <v>355</v>
      </c>
      <c r="D184" s="19"/>
      <c r="E184" s="8"/>
      <c r="F184" s="21">
        <f>Source!AO93</f>
        <v>1092.07</v>
      </c>
      <c r="G184" s="20" t="str">
        <f>Source!DG93</f>
        <v>)*186</v>
      </c>
      <c r="H184" s="8">
        <f>Source!AV93</f>
        <v>1</v>
      </c>
      <c r="I184" s="8">
        <f>IF(Source!BA93&lt;&gt; 0, Source!BA93, 1)</f>
        <v>1</v>
      </c>
      <c r="J184" s="21">
        <f>Source!S93</f>
        <v>69062.509999999995</v>
      </c>
      <c r="K184" s="21"/>
    </row>
    <row r="185" spans="1:22" ht="14.5" x14ac:dyDescent="0.35">
      <c r="A185" s="18"/>
      <c r="B185" s="18"/>
      <c r="C185" s="18" t="s">
        <v>360</v>
      </c>
      <c r="D185" s="19"/>
      <c r="E185" s="8"/>
      <c r="F185" s="21">
        <f>Source!AL93</f>
        <v>275</v>
      </c>
      <c r="G185" s="20" t="str">
        <f>Source!DD93</f>
        <v>)*186</v>
      </c>
      <c r="H185" s="8">
        <f>Source!AW93</f>
        <v>1</v>
      </c>
      <c r="I185" s="8">
        <f>IF(Source!BC93&lt;&gt; 0, Source!BC93, 1)</f>
        <v>1</v>
      </c>
      <c r="J185" s="21">
        <f>Source!P93</f>
        <v>17391</v>
      </c>
      <c r="K185" s="21"/>
    </row>
    <row r="186" spans="1:22" ht="14.5" x14ac:dyDescent="0.35">
      <c r="A186" s="18"/>
      <c r="B186" s="18"/>
      <c r="C186" s="18" t="s">
        <v>356</v>
      </c>
      <c r="D186" s="19" t="s">
        <v>354</v>
      </c>
      <c r="E186" s="8">
        <f>Source!AT93</f>
        <v>70</v>
      </c>
      <c r="F186" s="21"/>
      <c r="G186" s="20"/>
      <c r="H186" s="8"/>
      <c r="I186" s="8"/>
      <c r="J186" s="21">
        <f>SUM(R183:R185)</f>
        <v>48343.76</v>
      </c>
      <c r="K186" s="21"/>
    </row>
    <row r="187" spans="1:22" ht="14.5" x14ac:dyDescent="0.35">
      <c r="A187" s="18"/>
      <c r="B187" s="18"/>
      <c r="C187" s="18" t="s">
        <v>357</v>
      </c>
      <c r="D187" s="19" t="s">
        <v>354</v>
      </c>
      <c r="E187" s="8">
        <f>Source!AU93</f>
        <v>10</v>
      </c>
      <c r="F187" s="21"/>
      <c r="G187" s="20"/>
      <c r="H187" s="8"/>
      <c r="I187" s="8"/>
      <c r="J187" s="21">
        <f>SUM(T183:T186)</f>
        <v>6906.25</v>
      </c>
      <c r="K187" s="21"/>
    </row>
    <row r="188" spans="1:22" ht="14.5" x14ac:dyDescent="0.35">
      <c r="A188" s="18"/>
      <c r="B188" s="18"/>
      <c r="C188" s="18" t="s">
        <v>358</v>
      </c>
      <c r="D188" s="19" t="s">
        <v>359</v>
      </c>
      <c r="E188" s="8">
        <f>Source!AQ93</f>
        <v>2.41</v>
      </c>
      <c r="F188" s="21"/>
      <c r="G188" s="20" t="str">
        <f>Source!DI93</f>
        <v>)*186</v>
      </c>
      <c r="H188" s="8">
        <f>Source!AV93</f>
        <v>1</v>
      </c>
      <c r="I188" s="8"/>
      <c r="J188" s="21"/>
      <c r="K188" s="21">
        <f>Source!U93</f>
        <v>152.40840000000003</v>
      </c>
    </row>
    <row r="189" spans="1:22" ht="14" x14ac:dyDescent="0.3">
      <c r="A189" s="25"/>
      <c r="B189" s="25"/>
      <c r="C189" s="25"/>
      <c r="D189" s="25"/>
      <c r="E189" s="25"/>
      <c r="F189" s="25"/>
      <c r="G189" s="25"/>
      <c r="H189" s="25"/>
      <c r="I189" s="52">
        <f>J184+J185+J186+J187</f>
        <v>141703.51999999999</v>
      </c>
      <c r="J189" s="52"/>
      <c r="K189" s="26">
        <f>IF(Source!I93&lt;&gt;0, ROUND(I189/Source!I93, 2), 0)</f>
        <v>416775.06</v>
      </c>
      <c r="P189" s="23">
        <f>I189</f>
        <v>141703.51999999999</v>
      </c>
    </row>
    <row r="190" spans="1:22" ht="42" x14ac:dyDescent="0.35">
      <c r="A190" s="18">
        <v>23</v>
      </c>
      <c r="B190" s="18" t="str">
        <f>Source!F94</f>
        <v>5.3-1101-12-3/1</v>
      </c>
      <c r="C190" s="18" t="str">
        <f>Source!G94</f>
        <v>Уход за урнами на придомовых и внутрибольничных территориях, промывка урн опрокидывающихся</v>
      </c>
      <c r="D190" s="19" t="str">
        <f>Source!H94</f>
        <v>100 шт.</v>
      </c>
      <c r="E190" s="8">
        <f>Source!I94</f>
        <v>0.34</v>
      </c>
      <c r="F190" s="21"/>
      <c r="G190" s="20"/>
      <c r="H190" s="8"/>
      <c r="I190" s="8"/>
      <c r="J190" s="21"/>
      <c r="K190" s="21"/>
      <c r="Q190">
        <f>ROUND((Source!BZ94/100)*ROUND((Source!AF94*Source!AV94)*Source!I94, 2), 2)</f>
        <v>17875.71</v>
      </c>
      <c r="R190">
        <f>Source!X94</f>
        <v>17875.71</v>
      </c>
      <c r="S190">
        <f>ROUND((Source!CA94/100)*ROUND((Source!AF94*Source!AV94)*Source!I94, 2), 2)</f>
        <v>2553.67</v>
      </c>
      <c r="T190">
        <f>Source!Y94</f>
        <v>2553.67</v>
      </c>
      <c r="U190">
        <f>ROUND((175/100)*ROUND((Source!AE94*Source!AV94)*Source!I94, 2), 2)</f>
        <v>0</v>
      </c>
      <c r="V190">
        <f>ROUND((108/100)*ROUND(Source!CS94*Source!I94, 2), 2)</f>
        <v>0</v>
      </c>
    </row>
    <row r="191" spans="1:22" ht="14.5" x14ac:dyDescent="0.35">
      <c r="A191" s="18"/>
      <c r="B191" s="18"/>
      <c r="C191" s="18" t="s">
        <v>355</v>
      </c>
      <c r="D191" s="19"/>
      <c r="E191" s="8"/>
      <c r="F191" s="21">
        <f>Source!AO94</f>
        <v>5777.54</v>
      </c>
      <c r="G191" s="20" t="str">
        <f>Source!DG94</f>
        <v>)*13</v>
      </c>
      <c r="H191" s="8">
        <f>Source!AV94</f>
        <v>1</v>
      </c>
      <c r="I191" s="8">
        <f>IF(Source!BA94&lt;&gt; 0, Source!BA94, 1)</f>
        <v>1</v>
      </c>
      <c r="J191" s="21">
        <f>Source!S94</f>
        <v>25536.73</v>
      </c>
      <c r="K191" s="21"/>
    </row>
    <row r="192" spans="1:22" ht="14.5" x14ac:dyDescent="0.35">
      <c r="A192" s="18"/>
      <c r="B192" s="18"/>
      <c r="C192" s="18" t="s">
        <v>360</v>
      </c>
      <c r="D192" s="19"/>
      <c r="E192" s="8"/>
      <c r="F192" s="21">
        <f>Source!AL94</f>
        <v>5687.69</v>
      </c>
      <c r="G192" s="20" t="str">
        <f>Source!DD94</f>
        <v>)*13</v>
      </c>
      <c r="H192" s="8">
        <f>Source!AW94</f>
        <v>1</v>
      </c>
      <c r="I192" s="8">
        <f>IF(Source!BC94&lt;&gt; 0, Source!BC94, 1)</f>
        <v>1</v>
      </c>
      <c r="J192" s="21">
        <f>Source!P94</f>
        <v>25139.59</v>
      </c>
      <c r="K192" s="21"/>
    </row>
    <row r="193" spans="1:22" ht="14.5" x14ac:dyDescent="0.35">
      <c r="A193" s="18"/>
      <c r="B193" s="18"/>
      <c r="C193" s="18" t="s">
        <v>356</v>
      </c>
      <c r="D193" s="19" t="s">
        <v>354</v>
      </c>
      <c r="E193" s="8">
        <f>Source!AT94</f>
        <v>70</v>
      </c>
      <c r="F193" s="21"/>
      <c r="G193" s="20"/>
      <c r="H193" s="8"/>
      <c r="I193" s="8"/>
      <c r="J193" s="21">
        <f>SUM(R190:R192)</f>
        <v>17875.71</v>
      </c>
      <c r="K193" s="21"/>
    </row>
    <row r="194" spans="1:22" ht="14.5" x14ac:dyDescent="0.35">
      <c r="A194" s="18"/>
      <c r="B194" s="18"/>
      <c r="C194" s="18" t="s">
        <v>357</v>
      </c>
      <c r="D194" s="19" t="s">
        <v>354</v>
      </c>
      <c r="E194" s="8">
        <f>Source!AU94</f>
        <v>10</v>
      </c>
      <c r="F194" s="21"/>
      <c r="G194" s="20"/>
      <c r="H194" s="8"/>
      <c r="I194" s="8"/>
      <c r="J194" s="21">
        <f>SUM(T190:T193)</f>
        <v>2553.67</v>
      </c>
      <c r="K194" s="21"/>
    </row>
    <row r="195" spans="1:22" ht="14.5" x14ac:dyDescent="0.35">
      <c r="A195" s="18"/>
      <c r="B195" s="18"/>
      <c r="C195" s="18" t="s">
        <v>358</v>
      </c>
      <c r="D195" s="19" t="s">
        <v>359</v>
      </c>
      <c r="E195" s="8">
        <f>Source!AQ94</f>
        <v>12.75</v>
      </c>
      <c r="F195" s="21"/>
      <c r="G195" s="20" t="str">
        <f>Source!DI94</f>
        <v>)*13</v>
      </c>
      <c r="H195" s="8">
        <f>Source!AV94</f>
        <v>1</v>
      </c>
      <c r="I195" s="8"/>
      <c r="J195" s="21"/>
      <c r="K195" s="21">
        <f>Source!U94</f>
        <v>56.355000000000004</v>
      </c>
    </row>
    <row r="196" spans="1:22" ht="14" x14ac:dyDescent="0.3">
      <c r="A196" s="25"/>
      <c r="B196" s="25"/>
      <c r="C196" s="25"/>
      <c r="D196" s="25"/>
      <c r="E196" s="25"/>
      <c r="F196" s="25"/>
      <c r="G196" s="25"/>
      <c r="H196" s="25"/>
      <c r="I196" s="52">
        <f>J191+J192+J193+J194</f>
        <v>71105.7</v>
      </c>
      <c r="J196" s="52"/>
      <c r="K196" s="26">
        <f>IF(Source!I94&lt;&gt;0, ROUND(I196/Source!I94, 2), 0)</f>
        <v>209134.41</v>
      </c>
      <c r="P196" s="23">
        <f>I196</f>
        <v>71105.7</v>
      </c>
    </row>
    <row r="197" spans="1:22" ht="28" x14ac:dyDescent="0.35">
      <c r="A197" s="18">
        <v>24</v>
      </c>
      <c r="B197" s="18" t="str">
        <f>Source!F95</f>
        <v>5.3-1101-11-1/1</v>
      </c>
      <c r="C197" s="18" t="str">
        <f>Source!G95</f>
        <v>Подметание контейнерной площадки с уборкой мусора</v>
      </c>
      <c r="D197" s="19" t="str">
        <f>Source!H95</f>
        <v>10 м2</v>
      </c>
      <c r="E197" s="8">
        <f>Source!I95</f>
        <v>3</v>
      </c>
      <c r="F197" s="21"/>
      <c r="G197" s="20"/>
      <c r="H197" s="8"/>
      <c r="I197" s="8"/>
      <c r="J197" s="21"/>
      <c r="K197" s="21"/>
      <c r="Q197">
        <f>ROUND((Source!BZ95/100)*ROUND((Source!AF95*Source!AV95)*Source!I95, 2), 2)</f>
        <v>48816.05</v>
      </c>
      <c r="R197">
        <f>Source!X95</f>
        <v>48816.05</v>
      </c>
      <c r="S197">
        <f>ROUND((Source!CA95/100)*ROUND((Source!AF95*Source!AV95)*Source!I95, 2), 2)</f>
        <v>6973.72</v>
      </c>
      <c r="T197">
        <f>Source!Y95</f>
        <v>6973.72</v>
      </c>
      <c r="U197">
        <f>ROUND((175/100)*ROUND((Source!AE95*Source!AV95)*Source!I95, 2), 2)</f>
        <v>0</v>
      </c>
      <c r="V197">
        <f>ROUND((108/100)*ROUND(Source!CS95*Source!I95, 2), 2)</f>
        <v>0</v>
      </c>
    </row>
    <row r="198" spans="1:22" ht="14.5" x14ac:dyDescent="0.35">
      <c r="A198" s="18"/>
      <c r="B198" s="18"/>
      <c r="C198" s="18" t="s">
        <v>355</v>
      </c>
      <c r="D198" s="19"/>
      <c r="E198" s="8"/>
      <c r="F198" s="21">
        <f>Source!AO95</f>
        <v>135.94</v>
      </c>
      <c r="G198" s="20" t="str">
        <f>Source!DG95</f>
        <v>)*171</v>
      </c>
      <c r="H198" s="8">
        <f>Source!AV95</f>
        <v>1</v>
      </c>
      <c r="I198" s="8">
        <f>IF(Source!BA95&lt;&gt; 0, Source!BA95, 1)</f>
        <v>1</v>
      </c>
      <c r="J198" s="21">
        <f>Source!S95</f>
        <v>69737.22</v>
      </c>
      <c r="K198" s="21"/>
    </row>
    <row r="199" spans="1:22" ht="14.5" x14ac:dyDescent="0.35">
      <c r="A199" s="18"/>
      <c r="B199" s="18"/>
      <c r="C199" s="18" t="s">
        <v>356</v>
      </c>
      <c r="D199" s="19" t="s">
        <v>354</v>
      </c>
      <c r="E199" s="8">
        <f>Source!AT95</f>
        <v>70</v>
      </c>
      <c r="F199" s="21"/>
      <c r="G199" s="20"/>
      <c r="H199" s="8"/>
      <c r="I199" s="8"/>
      <c r="J199" s="21">
        <f>SUM(R197:R198)</f>
        <v>48816.05</v>
      </c>
      <c r="K199" s="21"/>
    </row>
    <row r="200" spans="1:22" ht="14.5" x14ac:dyDescent="0.35">
      <c r="A200" s="18"/>
      <c r="B200" s="18"/>
      <c r="C200" s="18" t="s">
        <v>357</v>
      </c>
      <c r="D200" s="19" t="s">
        <v>354</v>
      </c>
      <c r="E200" s="8">
        <f>Source!AU95</f>
        <v>10</v>
      </c>
      <c r="F200" s="21"/>
      <c r="G200" s="20"/>
      <c r="H200" s="8"/>
      <c r="I200" s="8"/>
      <c r="J200" s="21">
        <f>SUM(T197:T199)</f>
        <v>6973.72</v>
      </c>
      <c r="K200" s="21"/>
    </row>
    <row r="201" spans="1:22" ht="14.5" x14ac:dyDescent="0.35">
      <c r="A201" s="18"/>
      <c r="B201" s="18"/>
      <c r="C201" s="18" t="s">
        <v>358</v>
      </c>
      <c r="D201" s="19" t="s">
        <v>359</v>
      </c>
      <c r="E201" s="8">
        <f>Source!AQ95</f>
        <v>0.3</v>
      </c>
      <c r="F201" s="21"/>
      <c r="G201" s="20" t="str">
        <f>Source!DI95</f>
        <v>)*171</v>
      </c>
      <c r="H201" s="8">
        <f>Source!AV95</f>
        <v>1</v>
      </c>
      <c r="I201" s="8"/>
      <c r="J201" s="21"/>
      <c r="K201" s="21">
        <f>Source!U95</f>
        <v>153.89999999999998</v>
      </c>
    </row>
    <row r="202" spans="1:22" ht="14" x14ac:dyDescent="0.3">
      <c r="A202" s="25"/>
      <c r="B202" s="25"/>
      <c r="C202" s="25"/>
      <c r="D202" s="25"/>
      <c r="E202" s="25"/>
      <c r="F202" s="25"/>
      <c r="G202" s="25"/>
      <c r="H202" s="25"/>
      <c r="I202" s="52">
        <f>J198+J199+J200</f>
        <v>125526.99</v>
      </c>
      <c r="J202" s="52"/>
      <c r="K202" s="26">
        <f>IF(Source!I95&lt;&gt;0, ROUND(I202/Source!I95, 2), 0)</f>
        <v>41842.33</v>
      </c>
      <c r="P202" s="23">
        <f>I202</f>
        <v>125526.99</v>
      </c>
    </row>
    <row r="203" spans="1:22" ht="42" x14ac:dyDescent="0.35">
      <c r="A203" s="18">
        <v>25</v>
      </c>
      <c r="B203" s="18" t="str">
        <f>Source!F96</f>
        <v>5.3-1101-4-2/1</v>
      </c>
      <c r="C203" s="18" t="str">
        <f>Source!G96</f>
        <v>Промывка оград металлических простого рисунка от пыли и грязи водой под напором</v>
      </c>
      <c r="D203" s="19" t="str">
        <f>Source!H96</f>
        <v>100 м2</v>
      </c>
      <c r="E203" s="8">
        <f>Source!I96</f>
        <v>0.35749999999999998</v>
      </c>
      <c r="F203" s="21"/>
      <c r="G203" s="20"/>
      <c r="H203" s="8"/>
      <c r="I203" s="8"/>
      <c r="J203" s="21"/>
      <c r="K203" s="21"/>
      <c r="Q203">
        <f>ROUND((Source!BZ96/100)*ROUND((Source!AF96*Source!AV96)*Source!I96, 2), 2)</f>
        <v>428.65</v>
      </c>
      <c r="R203">
        <f>Source!X96</f>
        <v>428.65</v>
      </c>
      <c r="S203">
        <f>ROUND((Source!CA96/100)*ROUND((Source!AF96*Source!AV96)*Source!I96, 2), 2)</f>
        <v>61.24</v>
      </c>
      <c r="T203">
        <f>Source!Y96</f>
        <v>61.24</v>
      </c>
      <c r="U203">
        <f>ROUND((175/100)*ROUND((Source!AE96*Source!AV96)*Source!I96, 2), 2)</f>
        <v>2391.08</v>
      </c>
      <c r="V203">
        <f>ROUND((108/100)*ROUND(Source!CS96*Source!I96, 2), 2)</f>
        <v>1475.64</v>
      </c>
    </row>
    <row r="204" spans="1:22" ht="14.5" x14ac:dyDescent="0.35">
      <c r="A204" s="18"/>
      <c r="B204" s="18"/>
      <c r="C204" s="18" t="s">
        <v>355</v>
      </c>
      <c r="D204" s="19"/>
      <c r="E204" s="8"/>
      <c r="F204" s="21">
        <f>Source!AO96</f>
        <v>570.96</v>
      </c>
      <c r="G204" s="20" t="str">
        <f>Source!DG96</f>
        <v>)*3</v>
      </c>
      <c r="H204" s="8">
        <f>Source!AV96</f>
        <v>1</v>
      </c>
      <c r="I204" s="8">
        <f>IF(Source!BA96&lt;&gt; 0, Source!BA96, 1)</f>
        <v>1</v>
      </c>
      <c r="J204" s="21">
        <f>Source!S96</f>
        <v>612.35</v>
      </c>
      <c r="K204" s="21"/>
    </row>
    <row r="205" spans="1:22" ht="14.5" x14ac:dyDescent="0.35">
      <c r="A205" s="18"/>
      <c r="B205" s="18"/>
      <c r="C205" s="18" t="s">
        <v>351</v>
      </c>
      <c r="D205" s="19"/>
      <c r="E205" s="8"/>
      <c r="F205" s="21">
        <f>Source!AM96</f>
        <v>2907.09</v>
      </c>
      <c r="G205" s="20" t="str">
        <f>Source!DE96</f>
        <v>)*3</v>
      </c>
      <c r="H205" s="8">
        <f>Source!AV96</f>
        <v>1</v>
      </c>
      <c r="I205" s="8">
        <f>IF(Source!BB96&lt;&gt; 0, Source!BB96, 1)</f>
        <v>1</v>
      </c>
      <c r="J205" s="21">
        <f>Source!Q96</f>
        <v>3117.85</v>
      </c>
      <c r="K205" s="21"/>
    </row>
    <row r="206" spans="1:22" ht="14.5" x14ac:dyDescent="0.35">
      <c r="A206" s="18"/>
      <c r="B206" s="18"/>
      <c r="C206" s="18" t="s">
        <v>352</v>
      </c>
      <c r="D206" s="19"/>
      <c r="E206" s="8"/>
      <c r="F206" s="21">
        <f>Source!AN96</f>
        <v>1273.97</v>
      </c>
      <c r="G206" s="20" t="str">
        <f>Source!DF96</f>
        <v>)*3</v>
      </c>
      <c r="H206" s="8">
        <f>Source!AV96</f>
        <v>1</v>
      </c>
      <c r="I206" s="8">
        <f>IF(Source!BS96&lt;&gt; 0, Source!BS96, 1)</f>
        <v>1</v>
      </c>
      <c r="J206" s="22">
        <f>Source!R96</f>
        <v>1366.33</v>
      </c>
      <c r="K206" s="21"/>
    </row>
    <row r="207" spans="1:22" ht="14.5" x14ac:dyDescent="0.35">
      <c r="A207" s="18"/>
      <c r="B207" s="18"/>
      <c r="C207" s="18" t="s">
        <v>360</v>
      </c>
      <c r="D207" s="19"/>
      <c r="E207" s="8"/>
      <c r="F207" s="21">
        <f>Source!AL96</f>
        <v>43.85</v>
      </c>
      <c r="G207" s="20" t="str">
        <f>Source!DD96</f>
        <v>)*3</v>
      </c>
      <c r="H207" s="8">
        <f>Source!AW96</f>
        <v>1</v>
      </c>
      <c r="I207" s="8">
        <f>IF(Source!BC96&lt;&gt; 0, Source!BC96, 1)</f>
        <v>1</v>
      </c>
      <c r="J207" s="21">
        <f>Source!P96</f>
        <v>47.03</v>
      </c>
      <c r="K207" s="21"/>
    </row>
    <row r="208" spans="1:22" ht="14.5" x14ac:dyDescent="0.35">
      <c r="A208" s="18" t="s">
        <v>188</v>
      </c>
      <c r="B208" s="18" t="str">
        <f>Source!F97</f>
        <v>21.1-25-13</v>
      </c>
      <c r="C208" s="18" t="str">
        <f>Source!G97</f>
        <v>Вода</v>
      </c>
      <c r="D208" s="19" t="str">
        <f>Source!H97</f>
        <v>м3</v>
      </c>
      <c r="E208" s="8">
        <f>Source!I97</f>
        <v>-0.85799999999999998</v>
      </c>
      <c r="F208" s="21">
        <f>Source!AK97</f>
        <v>54.81</v>
      </c>
      <c r="G208" s="27" t="s">
        <v>364</v>
      </c>
      <c r="H208" s="8">
        <f>Source!AW97</f>
        <v>1</v>
      </c>
      <c r="I208" s="8">
        <f>IF(Source!BC97&lt;&gt; 0, Source!BC97, 1)</f>
        <v>1</v>
      </c>
      <c r="J208" s="21">
        <f>Source!O97</f>
        <v>-47.03</v>
      </c>
      <c r="K208" s="21"/>
      <c r="Q208">
        <f>ROUND((Source!BZ97/100)*ROUND((Source!AF97*Source!AV97)*Source!I97, 2), 2)</f>
        <v>0</v>
      </c>
      <c r="R208">
        <f>Source!X97</f>
        <v>0</v>
      </c>
      <c r="S208">
        <f>ROUND((Source!CA97/100)*ROUND((Source!AF97*Source!AV97)*Source!I97, 2), 2)</f>
        <v>0</v>
      </c>
      <c r="T208">
        <f>Source!Y97</f>
        <v>0</v>
      </c>
      <c r="U208">
        <f>ROUND((175/100)*ROUND((Source!AE97*Source!AV97)*Source!I97, 2), 2)</f>
        <v>0</v>
      </c>
      <c r="V208">
        <f>ROUND((108/100)*ROUND(Source!CS97*Source!I97, 2), 2)</f>
        <v>0</v>
      </c>
    </row>
    <row r="209" spans="1:22" ht="14.5" x14ac:dyDescent="0.35">
      <c r="A209" s="18"/>
      <c r="B209" s="18"/>
      <c r="C209" s="18" t="s">
        <v>356</v>
      </c>
      <c r="D209" s="19" t="s">
        <v>354</v>
      </c>
      <c r="E209" s="8">
        <f>Source!AT96</f>
        <v>70</v>
      </c>
      <c r="F209" s="21"/>
      <c r="G209" s="20"/>
      <c r="H209" s="8"/>
      <c r="I209" s="8"/>
      <c r="J209" s="21">
        <f>SUM(R203:R208)</f>
        <v>428.65</v>
      </c>
      <c r="K209" s="21"/>
    </row>
    <row r="210" spans="1:22" ht="14.5" x14ac:dyDescent="0.35">
      <c r="A210" s="18"/>
      <c r="B210" s="18"/>
      <c r="C210" s="18" t="s">
        <v>357</v>
      </c>
      <c r="D210" s="19" t="s">
        <v>354</v>
      </c>
      <c r="E210" s="8">
        <f>Source!AU96</f>
        <v>10</v>
      </c>
      <c r="F210" s="21"/>
      <c r="G210" s="20"/>
      <c r="H210" s="8"/>
      <c r="I210" s="8"/>
      <c r="J210" s="21">
        <f>SUM(T203:T209)</f>
        <v>61.24</v>
      </c>
      <c r="K210" s="21"/>
    </row>
    <row r="211" spans="1:22" ht="14.5" x14ac:dyDescent="0.35">
      <c r="A211" s="18"/>
      <c r="B211" s="18"/>
      <c r="C211" s="18" t="s">
        <v>353</v>
      </c>
      <c r="D211" s="19" t="s">
        <v>354</v>
      </c>
      <c r="E211" s="8">
        <f>108</f>
        <v>108</v>
      </c>
      <c r="F211" s="21"/>
      <c r="G211" s="20"/>
      <c r="H211" s="8"/>
      <c r="I211" s="8"/>
      <c r="J211" s="21">
        <f>SUM(V203:V210)</f>
        <v>1475.64</v>
      </c>
      <c r="K211" s="21"/>
    </row>
    <row r="212" spans="1:22" ht="14.5" x14ac:dyDescent="0.35">
      <c r="A212" s="18"/>
      <c r="B212" s="18"/>
      <c r="C212" s="18" t="s">
        <v>358</v>
      </c>
      <c r="D212" s="19" t="s">
        <v>359</v>
      </c>
      <c r="E212" s="8">
        <f>Source!AQ96</f>
        <v>1.26</v>
      </c>
      <c r="F212" s="21"/>
      <c r="G212" s="20" t="str">
        <f>Source!DI96</f>
        <v>)*3</v>
      </c>
      <c r="H212" s="8">
        <f>Source!AV96</f>
        <v>1</v>
      </c>
      <c r="I212" s="8"/>
      <c r="J212" s="21"/>
      <c r="K212" s="21">
        <f>Source!U96</f>
        <v>1.3513500000000001</v>
      </c>
    </row>
    <row r="213" spans="1:22" ht="14" x14ac:dyDescent="0.3">
      <c r="A213" s="25"/>
      <c r="B213" s="25"/>
      <c r="C213" s="25"/>
      <c r="D213" s="25"/>
      <c r="E213" s="25"/>
      <c r="F213" s="25"/>
      <c r="G213" s="25"/>
      <c r="H213" s="25"/>
      <c r="I213" s="52">
        <f>J204+J205+J207+J209+J210+J211+SUM(J208:J208)</f>
        <v>5695.7300000000005</v>
      </c>
      <c r="J213" s="52"/>
      <c r="K213" s="26">
        <f>IF(Source!I96&lt;&gt;0, ROUND(I213/Source!I96, 2), 0)</f>
        <v>15932.11</v>
      </c>
      <c r="P213" s="23">
        <f>I213</f>
        <v>5695.7300000000005</v>
      </c>
    </row>
    <row r="215" spans="1:22" ht="14" x14ac:dyDescent="0.3">
      <c r="A215" s="55" t="str">
        <f>CONCATENATE("Итого по подразделу: ",IF(Source!G99&lt;&gt;"Новый подраздел", Source!G99, ""))</f>
        <v>Итого по подразделу: Подраздел: ЛЕТНЯЯ УБОРКА</v>
      </c>
      <c r="B215" s="55"/>
      <c r="C215" s="55"/>
      <c r="D215" s="55"/>
      <c r="E215" s="55"/>
      <c r="F215" s="55"/>
      <c r="G215" s="55"/>
      <c r="H215" s="55"/>
      <c r="I215" s="53">
        <f>SUM(P141:P214)</f>
        <v>12560131.58</v>
      </c>
      <c r="J215" s="54"/>
      <c r="K215" s="29"/>
    </row>
    <row r="218" spans="1:22" ht="16.5" x14ac:dyDescent="0.35">
      <c r="A218" s="51" t="str">
        <f>CONCATENATE("Подраздел: ",IF(Source!G129&lt;&gt;"Новый подраздел", Source!G129, ""))</f>
        <v xml:space="preserve">Подраздел: Подраздел: УХОД ЗА ЗЕЛЕНЫМИ НАСАЖДЕНИЯМИ </v>
      </c>
      <c r="B218" s="51"/>
      <c r="C218" s="51"/>
      <c r="D218" s="51"/>
      <c r="E218" s="51"/>
      <c r="F218" s="51"/>
      <c r="G218" s="51"/>
      <c r="H218" s="51"/>
      <c r="I218" s="51"/>
      <c r="J218" s="51"/>
      <c r="K218" s="51"/>
    </row>
    <row r="219" spans="1:22" ht="28" x14ac:dyDescent="0.35">
      <c r="A219" s="18">
        <v>26</v>
      </c>
      <c r="B219" s="18" t="str">
        <f>Source!F133</f>
        <v>5.4-1201-3-2/1</v>
      </c>
      <c r="C219" s="18" t="str">
        <f>Source!G133</f>
        <v>Уборка газонов от опавших листьев и мусора пневмомашиной</v>
      </c>
      <c r="D219" s="19" t="str">
        <f>Source!H133</f>
        <v>100 м2</v>
      </c>
      <c r="E219" s="8">
        <f>Source!I133</f>
        <v>84.581000000000003</v>
      </c>
      <c r="F219" s="21"/>
      <c r="G219" s="20"/>
      <c r="H219" s="8"/>
      <c r="I219" s="8"/>
      <c r="J219" s="21"/>
      <c r="K219" s="21"/>
      <c r="Q219">
        <f>ROUND((Source!BZ133/100)*ROUND((Source!AF133*Source!AV133)*Source!I133, 2), 2)</f>
        <v>15828.91</v>
      </c>
      <c r="R219">
        <f>Source!X133</f>
        <v>15828.91</v>
      </c>
      <c r="S219">
        <f>ROUND((Source!CA133/100)*ROUND((Source!AF133*Source!AV133)*Source!I133, 2), 2)</f>
        <v>2261.27</v>
      </c>
      <c r="T219">
        <f>Source!Y133</f>
        <v>2261.27</v>
      </c>
      <c r="U219">
        <f>ROUND((175/100)*ROUND((Source!AE133*Source!AV133)*Source!I133, 2), 2)</f>
        <v>10.36</v>
      </c>
      <c r="V219">
        <f>ROUND((108/100)*ROUND(Source!CS133*Source!I133, 2), 2)</f>
        <v>6.39</v>
      </c>
    </row>
    <row r="220" spans="1:22" x14ac:dyDescent="0.25">
      <c r="C220" s="28" t="str">
        <f>"Объем: "&amp;Source!I133&amp;"=8458,1/"&amp;"100"</f>
        <v>Объем: 84,581=8458,1/100</v>
      </c>
    </row>
    <row r="221" spans="1:22" ht="14.5" x14ac:dyDescent="0.35">
      <c r="A221" s="18"/>
      <c r="B221" s="18"/>
      <c r="C221" s="18" t="s">
        <v>355</v>
      </c>
      <c r="D221" s="19"/>
      <c r="E221" s="8"/>
      <c r="F221" s="21">
        <f>Source!AO133</f>
        <v>267.35000000000002</v>
      </c>
      <c r="G221" s="20" t="str">
        <f>Source!DG133</f>
        <v/>
      </c>
      <c r="H221" s="8">
        <f>Source!AV133</f>
        <v>1</v>
      </c>
      <c r="I221" s="8">
        <f>IF(Source!BA133&lt;&gt; 0, Source!BA133, 1)</f>
        <v>1</v>
      </c>
      <c r="J221" s="21">
        <f>Source!S133</f>
        <v>22612.73</v>
      </c>
      <c r="K221" s="21"/>
    </row>
    <row r="222" spans="1:22" ht="14.5" x14ac:dyDescent="0.35">
      <c r="A222" s="18"/>
      <c r="B222" s="18"/>
      <c r="C222" s="18" t="s">
        <v>351</v>
      </c>
      <c r="D222" s="19"/>
      <c r="E222" s="8"/>
      <c r="F222" s="21">
        <f>Source!AM133</f>
        <v>7.04</v>
      </c>
      <c r="G222" s="20" t="str">
        <f>Source!DE133</f>
        <v/>
      </c>
      <c r="H222" s="8">
        <f>Source!AV133</f>
        <v>1</v>
      </c>
      <c r="I222" s="8">
        <f>IF(Source!BB133&lt;&gt; 0, Source!BB133, 1)</f>
        <v>1</v>
      </c>
      <c r="J222" s="21">
        <f>Source!Q133</f>
        <v>595.45000000000005</v>
      </c>
      <c r="K222" s="21"/>
    </row>
    <row r="223" spans="1:22" ht="14.5" x14ac:dyDescent="0.35">
      <c r="A223" s="18"/>
      <c r="B223" s="18"/>
      <c r="C223" s="18" t="s">
        <v>352</v>
      </c>
      <c r="D223" s="19"/>
      <c r="E223" s="8"/>
      <c r="F223" s="21">
        <f>Source!AN133</f>
        <v>7.0000000000000007E-2</v>
      </c>
      <c r="G223" s="20" t="str">
        <f>Source!DF133</f>
        <v/>
      </c>
      <c r="H223" s="8">
        <f>Source!AV133</f>
        <v>1</v>
      </c>
      <c r="I223" s="8">
        <f>IF(Source!BS133&lt;&gt; 0, Source!BS133, 1)</f>
        <v>1</v>
      </c>
      <c r="J223" s="22">
        <f>Source!R133</f>
        <v>5.92</v>
      </c>
      <c r="K223" s="21"/>
    </row>
    <row r="224" spans="1:22" ht="14.5" x14ac:dyDescent="0.35">
      <c r="A224" s="18"/>
      <c r="B224" s="18"/>
      <c r="C224" s="18" t="s">
        <v>356</v>
      </c>
      <c r="D224" s="19" t="s">
        <v>354</v>
      </c>
      <c r="E224" s="8">
        <f>Source!AT133</f>
        <v>70</v>
      </c>
      <c r="F224" s="21"/>
      <c r="G224" s="20"/>
      <c r="H224" s="8"/>
      <c r="I224" s="8"/>
      <c r="J224" s="21">
        <f>SUM(R219:R223)</f>
        <v>15828.91</v>
      </c>
      <c r="K224" s="21"/>
    </row>
    <row r="225" spans="1:22" ht="14.5" x14ac:dyDescent="0.35">
      <c r="A225" s="18"/>
      <c r="B225" s="18"/>
      <c r="C225" s="18" t="s">
        <v>357</v>
      </c>
      <c r="D225" s="19" t="s">
        <v>354</v>
      </c>
      <c r="E225" s="8">
        <f>Source!AU133</f>
        <v>10</v>
      </c>
      <c r="F225" s="21"/>
      <c r="G225" s="20"/>
      <c r="H225" s="8"/>
      <c r="I225" s="8"/>
      <c r="J225" s="21">
        <f>SUM(T219:T224)</f>
        <v>2261.27</v>
      </c>
      <c r="K225" s="21"/>
    </row>
    <row r="226" spans="1:22" ht="14.5" x14ac:dyDescent="0.35">
      <c r="A226" s="18"/>
      <c r="B226" s="18"/>
      <c r="C226" s="18" t="s">
        <v>353</v>
      </c>
      <c r="D226" s="19" t="s">
        <v>354</v>
      </c>
      <c r="E226" s="8">
        <f>108</f>
        <v>108</v>
      </c>
      <c r="F226" s="21"/>
      <c r="G226" s="20"/>
      <c r="H226" s="8"/>
      <c r="I226" s="8"/>
      <c r="J226" s="21">
        <f>SUM(V219:V225)</f>
        <v>6.39</v>
      </c>
      <c r="K226" s="21"/>
    </row>
    <row r="227" spans="1:22" ht="14.5" x14ac:dyDescent="0.35">
      <c r="A227" s="18"/>
      <c r="B227" s="18"/>
      <c r="C227" s="18" t="s">
        <v>358</v>
      </c>
      <c r="D227" s="19" t="s">
        <v>359</v>
      </c>
      <c r="E227" s="8">
        <f>Source!AQ133</f>
        <v>0.59</v>
      </c>
      <c r="F227" s="21"/>
      <c r="G227" s="20" t="str">
        <f>Source!DI133</f>
        <v/>
      </c>
      <c r="H227" s="8">
        <f>Source!AV133</f>
        <v>1</v>
      </c>
      <c r="I227" s="8"/>
      <c r="J227" s="21"/>
      <c r="K227" s="21">
        <f>Source!U133</f>
        <v>49.902789999999996</v>
      </c>
    </row>
    <row r="228" spans="1:22" ht="14" x14ac:dyDescent="0.3">
      <c r="A228" s="25"/>
      <c r="B228" s="25"/>
      <c r="C228" s="25"/>
      <c r="D228" s="25"/>
      <c r="E228" s="25"/>
      <c r="F228" s="25"/>
      <c r="G228" s="25"/>
      <c r="H228" s="25"/>
      <c r="I228" s="52">
        <f>J221+J222+J224+J225+J226</f>
        <v>41304.749999999993</v>
      </c>
      <c r="J228" s="52"/>
      <c r="K228" s="26">
        <f>IF(Source!I133&lt;&gt;0, ROUND(I228/Source!I133, 2), 0)</f>
        <v>488.35</v>
      </c>
      <c r="P228" s="23">
        <f>I228</f>
        <v>41304.749999999993</v>
      </c>
    </row>
    <row r="229" spans="1:22" ht="28" x14ac:dyDescent="0.35">
      <c r="A229" s="18">
        <v>27</v>
      </c>
      <c r="B229" s="18" t="str">
        <f>Source!F134</f>
        <v>5.4-1201-3-1/1</v>
      </c>
      <c r="C229" s="18" t="str">
        <f>Source!G134</f>
        <v>Уборка газонов от опавших листьев и мусора вручную</v>
      </c>
      <c r="D229" s="19" t="str">
        <f>Source!H134</f>
        <v>100 м2</v>
      </c>
      <c r="E229" s="8">
        <f>Source!I134</f>
        <v>84.581000000000003</v>
      </c>
      <c r="F229" s="21"/>
      <c r="G229" s="20"/>
      <c r="H229" s="8"/>
      <c r="I229" s="8"/>
      <c r="J229" s="21"/>
      <c r="K229" s="21"/>
      <c r="Q229">
        <f>ROUND((Source!BZ134/100)*ROUND((Source!AF134*Source!AV134)*Source!I134, 2), 2)</f>
        <v>42926.04</v>
      </c>
      <c r="R229">
        <f>Source!X134</f>
        <v>42926.04</v>
      </c>
      <c r="S229">
        <f>ROUND((Source!CA134/100)*ROUND((Source!AF134*Source!AV134)*Source!I134, 2), 2)</f>
        <v>6132.29</v>
      </c>
      <c r="T229">
        <f>Source!Y134</f>
        <v>6132.29</v>
      </c>
      <c r="U229">
        <f>ROUND((175/100)*ROUND((Source!AE134*Source!AV134)*Source!I134, 2), 2)</f>
        <v>0</v>
      </c>
      <c r="V229">
        <f>ROUND((108/100)*ROUND(Source!CS134*Source!I134, 2), 2)</f>
        <v>0</v>
      </c>
    </row>
    <row r="230" spans="1:22" x14ac:dyDescent="0.25">
      <c r="C230" s="28" t="str">
        <f>"Объем: "&amp;Source!I134&amp;"=8458,1/"&amp;"100"</f>
        <v>Объем: 84,581=8458,1/100</v>
      </c>
    </row>
    <row r="231" spans="1:22" ht="14.5" x14ac:dyDescent="0.35">
      <c r="A231" s="18"/>
      <c r="B231" s="18"/>
      <c r="C231" s="18" t="s">
        <v>355</v>
      </c>
      <c r="D231" s="19"/>
      <c r="E231" s="8"/>
      <c r="F231" s="21">
        <f>Source!AO134</f>
        <v>725.02</v>
      </c>
      <c r="G231" s="20" t="str">
        <f>Source!DG134</f>
        <v/>
      </c>
      <c r="H231" s="8">
        <f>Source!AV134</f>
        <v>1</v>
      </c>
      <c r="I231" s="8">
        <f>IF(Source!BA134&lt;&gt; 0, Source!BA134, 1)</f>
        <v>1</v>
      </c>
      <c r="J231" s="21">
        <f>Source!S134</f>
        <v>61322.92</v>
      </c>
      <c r="K231" s="21"/>
    </row>
    <row r="232" spans="1:22" ht="14.5" x14ac:dyDescent="0.35">
      <c r="A232" s="18"/>
      <c r="B232" s="18"/>
      <c r="C232" s="18" t="s">
        <v>356</v>
      </c>
      <c r="D232" s="19" t="s">
        <v>354</v>
      </c>
      <c r="E232" s="8">
        <f>Source!AT134</f>
        <v>70</v>
      </c>
      <c r="F232" s="21"/>
      <c r="G232" s="20"/>
      <c r="H232" s="8"/>
      <c r="I232" s="8"/>
      <c r="J232" s="21">
        <f>SUM(R229:R231)</f>
        <v>42926.04</v>
      </c>
      <c r="K232" s="21"/>
    </row>
    <row r="233" spans="1:22" ht="14.5" x14ac:dyDescent="0.35">
      <c r="A233" s="18"/>
      <c r="B233" s="18"/>
      <c r="C233" s="18" t="s">
        <v>357</v>
      </c>
      <c r="D233" s="19" t="s">
        <v>354</v>
      </c>
      <c r="E233" s="8">
        <f>Source!AU134</f>
        <v>10</v>
      </c>
      <c r="F233" s="21"/>
      <c r="G233" s="20"/>
      <c r="H233" s="8"/>
      <c r="I233" s="8"/>
      <c r="J233" s="21">
        <f>SUM(T229:T232)</f>
        <v>6132.29</v>
      </c>
      <c r="K233" s="21"/>
    </row>
    <row r="234" spans="1:22" ht="14.5" x14ac:dyDescent="0.35">
      <c r="A234" s="18"/>
      <c r="B234" s="18"/>
      <c r="C234" s="18" t="s">
        <v>358</v>
      </c>
      <c r="D234" s="19" t="s">
        <v>359</v>
      </c>
      <c r="E234" s="8">
        <f>Source!AQ134</f>
        <v>1.6</v>
      </c>
      <c r="F234" s="21"/>
      <c r="G234" s="20" t="str">
        <f>Source!DI134</f>
        <v/>
      </c>
      <c r="H234" s="8">
        <f>Source!AV134</f>
        <v>1</v>
      </c>
      <c r="I234" s="8"/>
      <c r="J234" s="21"/>
      <c r="K234" s="21">
        <f>Source!U134</f>
        <v>135.3296</v>
      </c>
    </row>
    <row r="235" spans="1:22" ht="14" x14ac:dyDescent="0.3">
      <c r="A235" s="25"/>
      <c r="B235" s="25"/>
      <c r="C235" s="25"/>
      <c r="D235" s="25"/>
      <c r="E235" s="25"/>
      <c r="F235" s="25"/>
      <c r="G235" s="25"/>
      <c r="H235" s="25"/>
      <c r="I235" s="52">
        <f>J231+J232+J233</f>
        <v>110381.24999999999</v>
      </c>
      <c r="J235" s="52"/>
      <c r="K235" s="26">
        <f>IF(Source!I134&lt;&gt;0, ROUND(I235/Source!I134, 2), 0)</f>
        <v>1305.04</v>
      </c>
      <c r="P235" s="23">
        <f>I235</f>
        <v>110381.24999999999</v>
      </c>
    </row>
    <row r="236" spans="1:22" ht="28" x14ac:dyDescent="0.35">
      <c r="A236" s="18">
        <v>28</v>
      </c>
      <c r="B236" s="18" t="str">
        <f>Source!F135</f>
        <v>5.4-1201-3-3/1</v>
      </c>
      <c r="C236" s="18" t="str">
        <f>Source!G135</f>
        <v>Уборка опавшей листвы в мешки с погрузкой (8 458,1*0,005)</v>
      </c>
      <c r="D236" s="19" t="str">
        <f>Source!H135</f>
        <v>м3</v>
      </c>
      <c r="E236" s="8">
        <f>Source!I135</f>
        <v>42.29</v>
      </c>
      <c r="F236" s="21"/>
      <c r="G236" s="20"/>
      <c r="H236" s="8"/>
      <c r="I236" s="8"/>
      <c r="J236" s="21"/>
      <c r="K236" s="21"/>
      <c r="Q236">
        <f>ROUND((Source!BZ135/100)*ROUND((Source!AF135*Source!AV135)*Source!I135, 2), 2)</f>
        <v>7202.11</v>
      </c>
      <c r="R236">
        <f>Source!X135</f>
        <v>7202.11</v>
      </c>
      <c r="S236">
        <f>ROUND((Source!CA135/100)*ROUND((Source!AF135*Source!AV135)*Source!I135, 2), 2)</f>
        <v>1028.8699999999999</v>
      </c>
      <c r="T236">
        <f>Source!Y135</f>
        <v>1028.8699999999999</v>
      </c>
      <c r="U236">
        <f>ROUND((175/100)*ROUND((Source!AE135*Source!AV135)*Source!I135, 2), 2)</f>
        <v>11092.25</v>
      </c>
      <c r="V236">
        <f>ROUND((108/100)*ROUND(Source!CS135*Source!I135, 2), 2)</f>
        <v>6845.5</v>
      </c>
    </row>
    <row r="237" spans="1:22" ht="14.5" x14ac:dyDescent="0.35">
      <c r="A237" s="18"/>
      <c r="B237" s="18"/>
      <c r="C237" s="18" t="s">
        <v>355</v>
      </c>
      <c r="D237" s="19"/>
      <c r="E237" s="8"/>
      <c r="F237" s="21">
        <f>Source!AO135</f>
        <v>243.29</v>
      </c>
      <c r="G237" s="20" t="str">
        <f>Source!DG135</f>
        <v/>
      </c>
      <c r="H237" s="8">
        <f>Source!AV135</f>
        <v>1</v>
      </c>
      <c r="I237" s="8">
        <f>IF(Source!BA135&lt;&gt; 0, Source!BA135, 1)</f>
        <v>1</v>
      </c>
      <c r="J237" s="21">
        <f>Source!S135</f>
        <v>10288.73</v>
      </c>
      <c r="K237" s="21"/>
    </row>
    <row r="238" spans="1:22" ht="14.5" x14ac:dyDescent="0.35">
      <c r="A238" s="18"/>
      <c r="B238" s="18"/>
      <c r="C238" s="18" t="s">
        <v>351</v>
      </c>
      <c r="D238" s="19"/>
      <c r="E238" s="8"/>
      <c r="F238" s="21">
        <f>Source!AM135</f>
        <v>346.67</v>
      </c>
      <c r="G238" s="20" t="str">
        <f>Source!DE135</f>
        <v/>
      </c>
      <c r="H238" s="8">
        <f>Source!AV135</f>
        <v>1</v>
      </c>
      <c r="I238" s="8">
        <f>IF(Source!BB135&lt;&gt; 0, Source!BB135, 1)</f>
        <v>1</v>
      </c>
      <c r="J238" s="21">
        <f>Source!Q135</f>
        <v>14660.67</v>
      </c>
      <c r="K238" s="21"/>
    </row>
    <row r="239" spans="1:22" ht="14.5" x14ac:dyDescent="0.35">
      <c r="A239" s="18"/>
      <c r="B239" s="18"/>
      <c r="C239" s="18" t="s">
        <v>352</v>
      </c>
      <c r="D239" s="19"/>
      <c r="E239" s="8"/>
      <c r="F239" s="21">
        <f>Source!AN135</f>
        <v>149.88</v>
      </c>
      <c r="G239" s="20" t="str">
        <f>Source!DF135</f>
        <v/>
      </c>
      <c r="H239" s="8">
        <f>Source!AV135</f>
        <v>1</v>
      </c>
      <c r="I239" s="8">
        <f>IF(Source!BS135&lt;&gt; 0, Source!BS135, 1)</f>
        <v>1</v>
      </c>
      <c r="J239" s="22">
        <f>Source!R135</f>
        <v>6338.43</v>
      </c>
      <c r="K239" s="21"/>
    </row>
    <row r="240" spans="1:22" ht="14.5" x14ac:dyDescent="0.35">
      <c r="A240" s="18"/>
      <c r="B240" s="18"/>
      <c r="C240" s="18" t="s">
        <v>360</v>
      </c>
      <c r="D240" s="19"/>
      <c r="E240" s="8"/>
      <c r="F240" s="21">
        <f>Source!AL135</f>
        <v>72.8</v>
      </c>
      <c r="G240" s="20" t="str">
        <f>Source!DD135</f>
        <v/>
      </c>
      <c r="H240" s="8">
        <f>Source!AW135</f>
        <v>1</v>
      </c>
      <c r="I240" s="8">
        <f>IF(Source!BC135&lt;&gt; 0, Source!BC135, 1)</f>
        <v>1</v>
      </c>
      <c r="J240" s="21">
        <f>Source!P135</f>
        <v>3078.71</v>
      </c>
      <c r="K240" s="21"/>
    </row>
    <row r="241" spans="1:22" ht="14.5" x14ac:dyDescent="0.35">
      <c r="A241" s="18"/>
      <c r="B241" s="18"/>
      <c r="C241" s="18" t="s">
        <v>356</v>
      </c>
      <c r="D241" s="19" t="s">
        <v>354</v>
      </c>
      <c r="E241" s="8">
        <f>Source!AT135</f>
        <v>70</v>
      </c>
      <c r="F241" s="21"/>
      <c r="G241" s="20"/>
      <c r="H241" s="8"/>
      <c r="I241" s="8"/>
      <c r="J241" s="21">
        <f>SUM(R236:R240)</f>
        <v>7202.11</v>
      </c>
      <c r="K241" s="21"/>
    </row>
    <row r="242" spans="1:22" ht="14.5" x14ac:dyDescent="0.35">
      <c r="A242" s="18"/>
      <c r="B242" s="18"/>
      <c r="C242" s="18" t="s">
        <v>357</v>
      </c>
      <c r="D242" s="19" t="s">
        <v>354</v>
      </c>
      <c r="E242" s="8">
        <f>Source!AU135</f>
        <v>10</v>
      </c>
      <c r="F242" s="21"/>
      <c r="G242" s="20"/>
      <c r="H242" s="8"/>
      <c r="I242" s="8"/>
      <c r="J242" s="21">
        <f>SUM(T236:T241)</f>
        <v>1028.8699999999999</v>
      </c>
      <c r="K242" s="21"/>
    </row>
    <row r="243" spans="1:22" ht="14.5" x14ac:dyDescent="0.35">
      <c r="A243" s="18"/>
      <c r="B243" s="18"/>
      <c r="C243" s="18" t="s">
        <v>353</v>
      </c>
      <c r="D243" s="19" t="s">
        <v>354</v>
      </c>
      <c r="E243" s="8">
        <f>108</f>
        <v>108</v>
      </c>
      <c r="F243" s="21"/>
      <c r="G243" s="20"/>
      <c r="H243" s="8"/>
      <c r="I243" s="8"/>
      <c r="J243" s="21">
        <f>SUM(V236:V242)</f>
        <v>6845.5</v>
      </c>
      <c r="K243" s="21"/>
    </row>
    <row r="244" spans="1:22" ht="14.5" x14ac:dyDescent="0.35">
      <c r="A244" s="18"/>
      <c r="B244" s="18"/>
      <c r="C244" s="18" t="s">
        <v>358</v>
      </c>
      <c r="D244" s="19" t="s">
        <v>359</v>
      </c>
      <c r="E244" s="8">
        <f>Source!AQ135</f>
        <v>0.48</v>
      </c>
      <c r="F244" s="21"/>
      <c r="G244" s="20" t="str">
        <f>Source!DI135</f>
        <v/>
      </c>
      <c r="H244" s="8">
        <f>Source!AV135</f>
        <v>1</v>
      </c>
      <c r="I244" s="8"/>
      <c r="J244" s="21"/>
      <c r="K244" s="21">
        <f>Source!U135</f>
        <v>20.299199999999999</v>
      </c>
    </row>
    <row r="245" spans="1:22" ht="14" x14ac:dyDescent="0.3">
      <c r="A245" s="25"/>
      <c r="B245" s="25"/>
      <c r="C245" s="25"/>
      <c r="D245" s="25"/>
      <c r="E245" s="25"/>
      <c r="F245" s="25"/>
      <c r="G245" s="25"/>
      <c r="H245" s="25"/>
      <c r="I245" s="52">
        <f>J237+J238+J240+J241+J242+J243</f>
        <v>43104.590000000004</v>
      </c>
      <c r="J245" s="52"/>
      <c r="K245" s="26">
        <f>IF(Source!I135&lt;&gt;0, ROUND(I245/Source!I135, 2), 0)</f>
        <v>1019.26</v>
      </c>
      <c r="P245" s="23">
        <f>I245</f>
        <v>43104.590000000004</v>
      </c>
    </row>
    <row r="246" spans="1:22" ht="28" x14ac:dyDescent="0.35">
      <c r="A246" s="18">
        <v>29</v>
      </c>
      <c r="B246" s="18" t="str">
        <f>Source!F136</f>
        <v>5.4-1201-1-1/1</v>
      </c>
      <c r="C246" s="18" t="str">
        <f>Source!G136</f>
        <v>Сбор случайного мусора по территории</v>
      </c>
      <c r="D246" s="19" t="str">
        <f>Source!H136</f>
        <v>100 м2</v>
      </c>
      <c r="E246" s="8">
        <f>Source!I136</f>
        <v>169.16200000000001</v>
      </c>
      <c r="F246" s="21"/>
      <c r="G246" s="20"/>
      <c r="H246" s="8"/>
      <c r="I246" s="8"/>
      <c r="J246" s="21"/>
      <c r="K246" s="21"/>
      <c r="Q246">
        <f>ROUND((Source!BZ136/100)*ROUND((Source!AF136*Source!AV136)*Source!I136, 2), 2)</f>
        <v>533966.28</v>
      </c>
      <c r="R246">
        <f>Source!X136</f>
        <v>533966.28</v>
      </c>
      <c r="S246">
        <f>ROUND((Source!CA136/100)*ROUND((Source!AF136*Source!AV136)*Source!I136, 2), 2)</f>
        <v>76280.899999999994</v>
      </c>
      <c r="T246">
        <f>Source!Y136</f>
        <v>76280.899999999994</v>
      </c>
      <c r="U246">
        <f>ROUND((175/100)*ROUND((Source!AE136*Source!AV136)*Source!I136, 2), 2)</f>
        <v>0</v>
      </c>
      <c r="V246">
        <f>ROUND((108/100)*ROUND(Source!CS136*Source!I136, 2), 2)</f>
        <v>0</v>
      </c>
    </row>
    <row r="247" spans="1:22" ht="14.5" x14ac:dyDescent="0.35">
      <c r="A247" s="18"/>
      <c r="B247" s="18"/>
      <c r="C247" s="18" t="s">
        <v>355</v>
      </c>
      <c r="D247" s="19"/>
      <c r="E247" s="8"/>
      <c r="F247" s="21">
        <f>Source!AO136</f>
        <v>22.66</v>
      </c>
      <c r="G247" s="20" t="str">
        <f>Source!DG136</f>
        <v>)*199</v>
      </c>
      <c r="H247" s="8">
        <f>Source!AV136</f>
        <v>1</v>
      </c>
      <c r="I247" s="8">
        <f>IF(Source!BA136&lt;&gt; 0, Source!BA136, 1)</f>
        <v>1</v>
      </c>
      <c r="J247" s="21">
        <f>Source!S136</f>
        <v>762808.97</v>
      </c>
      <c r="K247" s="21"/>
    </row>
    <row r="248" spans="1:22" ht="14.5" x14ac:dyDescent="0.35">
      <c r="A248" s="18"/>
      <c r="B248" s="18"/>
      <c r="C248" s="18" t="s">
        <v>360</v>
      </c>
      <c r="D248" s="19"/>
      <c r="E248" s="8"/>
      <c r="F248" s="21">
        <f>Source!AL136</f>
        <v>0.91</v>
      </c>
      <c r="G248" s="20" t="str">
        <f>Source!DD136</f>
        <v>)*199</v>
      </c>
      <c r="H248" s="8">
        <f>Source!AW136</f>
        <v>1</v>
      </c>
      <c r="I248" s="8">
        <f>IF(Source!BC136&lt;&gt; 0, Source!BC136, 1)</f>
        <v>1</v>
      </c>
      <c r="J248" s="21">
        <f>Source!P136</f>
        <v>30633.55</v>
      </c>
      <c r="K248" s="21"/>
    </row>
    <row r="249" spans="1:22" ht="14.5" x14ac:dyDescent="0.35">
      <c r="A249" s="18"/>
      <c r="B249" s="18"/>
      <c r="C249" s="18" t="s">
        <v>356</v>
      </c>
      <c r="D249" s="19" t="s">
        <v>354</v>
      </c>
      <c r="E249" s="8">
        <f>Source!AT136</f>
        <v>70</v>
      </c>
      <c r="F249" s="21"/>
      <c r="G249" s="20"/>
      <c r="H249" s="8"/>
      <c r="I249" s="8"/>
      <c r="J249" s="21">
        <f>SUM(R246:R248)</f>
        <v>533966.28</v>
      </c>
      <c r="K249" s="21"/>
    </row>
    <row r="250" spans="1:22" ht="14.5" x14ac:dyDescent="0.35">
      <c r="A250" s="18"/>
      <c r="B250" s="18"/>
      <c r="C250" s="18" t="s">
        <v>357</v>
      </c>
      <c r="D250" s="19" t="s">
        <v>354</v>
      </c>
      <c r="E250" s="8">
        <f>Source!AU136</f>
        <v>10</v>
      </c>
      <c r="F250" s="21"/>
      <c r="G250" s="20"/>
      <c r="H250" s="8"/>
      <c r="I250" s="8"/>
      <c r="J250" s="21">
        <f>SUM(T246:T249)</f>
        <v>76280.899999999994</v>
      </c>
      <c r="K250" s="21"/>
    </row>
    <row r="251" spans="1:22" ht="14.5" x14ac:dyDescent="0.35">
      <c r="A251" s="18"/>
      <c r="B251" s="18"/>
      <c r="C251" s="18" t="s">
        <v>358</v>
      </c>
      <c r="D251" s="19" t="s">
        <v>359</v>
      </c>
      <c r="E251" s="8">
        <f>Source!AQ136</f>
        <v>0.05</v>
      </c>
      <c r="F251" s="21"/>
      <c r="G251" s="20" t="str">
        <f>Source!DI136</f>
        <v>)*199</v>
      </c>
      <c r="H251" s="8">
        <f>Source!AV136</f>
        <v>1</v>
      </c>
      <c r="I251" s="8"/>
      <c r="J251" s="21"/>
      <c r="K251" s="21">
        <f>Source!U136</f>
        <v>1683.1619000000003</v>
      </c>
    </row>
    <row r="252" spans="1:22" ht="14" x14ac:dyDescent="0.3">
      <c r="A252" s="25"/>
      <c r="B252" s="25"/>
      <c r="C252" s="25"/>
      <c r="D252" s="25"/>
      <c r="E252" s="25"/>
      <c r="F252" s="25"/>
      <c r="G252" s="25"/>
      <c r="H252" s="25"/>
      <c r="I252" s="52">
        <f>J247+J248+J249+J250</f>
        <v>1403689.7</v>
      </c>
      <c r="J252" s="52"/>
      <c r="K252" s="26">
        <f>IF(Source!I136&lt;&gt;0, ROUND(I252/Source!I136, 2), 0)</f>
        <v>8297.9</v>
      </c>
      <c r="P252" s="23">
        <f>I252</f>
        <v>1403689.7</v>
      </c>
    </row>
    <row r="253" spans="1:22" ht="28" x14ac:dyDescent="0.35">
      <c r="A253" s="18">
        <v>30</v>
      </c>
      <c r="B253" s="18" t="str">
        <f>Source!F137</f>
        <v>5.4-3201-7-2/1</v>
      </c>
      <c r="C253" s="18" t="str">
        <f>Source!G137</f>
        <v>Выкашивание газонов газонокосилкой</v>
      </c>
      <c r="D253" s="19" t="str">
        <f>Source!H137</f>
        <v>100 м2</v>
      </c>
      <c r="E253" s="8">
        <f>Source!I137</f>
        <v>845.81</v>
      </c>
      <c r="F253" s="21"/>
      <c r="G253" s="20"/>
      <c r="H253" s="8"/>
      <c r="I253" s="8"/>
      <c r="J253" s="21"/>
      <c r="K253" s="21"/>
      <c r="Q253">
        <f>ROUND((Source!BZ137/100)*ROUND((Source!AF137*Source!AV137)*Source!I137, 2), 2)</f>
        <v>2660393.86</v>
      </c>
      <c r="R253">
        <f>Source!X137</f>
        <v>2660393.86</v>
      </c>
      <c r="S253">
        <f>ROUND((Source!CA137/100)*ROUND((Source!AF137*Source!AV137)*Source!I137, 2), 2)</f>
        <v>380056.27</v>
      </c>
      <c r="T253">
        <f>Source!Y137</f>
        <v>380056.27</v>
      </c>
      <c r="U253">
        <f>ROUND((175/100)*ROUND((Source!AE137*Source!AV137)*Source!I137, 2), 2)</f>
        <v>36412.129999999997</v>
      </c>
      <c r="V253">
        <f>ROUND((108/100)*ROUND(Source!CS137*Source!I137, 2), 2)</f>
        <v>22471.48</v>
      </c>
    </row>
    <row r="254" spans="1:22" ht="14.5" x14ac:dyDescent="0.35">
      <c r="A254" s="18"/>
      <c r="B254" s="18"/>
      <c r="C254" s="18" t="s">
        <v>355</v>
      </c>
      <c r="D254" s="19"/>
      <c r="E254" s="8"/>
      <c r="F254" s="21">
        <f>Source!AO137</f>
        <v>449.34</v>
      </c>
      <c r="G254" s="20" t="str">
        <f>Source!DG137</f>
        <v>)*10</v>
      </c>
      <c r="H254" s="8">
        <f>Source!AV137</f>
        <v>1</v>
      </c>
      <c r="I254" s="8">
        <f>IF(Source!BA137&lt;&gt; 0, Source!BA137, 1)</f>
        <v>1</v>
      </c>
      <c r="J254" s="21">
        <f>Source!S137</f>
        <v>3800562.65</v>
      </c>
      <c r="K254" s="21"/>
    </row>
    <row r="255" spans="1:22" ht="14.5" x14ac:dyDescent="0.35">
      <c r="A255" s="18"/>
      <c r="B255" s="18"/>
      <c r="C255" s="18" t="s">
        <v>351</v>
      </c>
      <c r="D255" s="19"/>
      <c r="E255" s="8"/>
      <c r="F255" s="21">
        <f>Source!AM137</f>
        <v>24.44</v>
      </c>
      <c r="G255" s="20" t="str">
        <f>Source!DE137</f>
        <v>)*10</v>
      </c>
      <c r="H255" s="8">
        <f>Source!AV137</f>
        <v>1</v>
      </c>
      <c r="I255" s="8">
        <f>IF(Source!BB137&lt;&gt; 0, Source!BB137, 1)</f>
        <v>1</v>
      </c>
      <c r="J255" s="21">
        <f>Source!Q137</f>
        <v>206715.96</v>
      </c>
      <c r="K255" s="21"/>
    </row>
    <row r="256" spans="1:22" ht="14.5" x14ac:dyDescent="0.35">
      <c r="A256" s="18"/>
      <c r="B256" s="18"/>
      <c r="C256" s="18" t="s">
        <v>352</v>
      </c>
      <c r="D256" s="19"/>
      <c r="E256" s="8"/>
      <c r="F256" s="21">
        <f>Source!AN137</f>
        <v>2.46</v>
      </c>
      <c r="G256" s="20" t="str">
        <f>Source!DF137</f>
        <v>)*10</v>
      </c>
      <c r="H256" s="8">
        <f>Source!AV137</f>
        <v>1</v>
      </c>
      <c r="I256" s="8">
        <f>IF(Source!BS137&lt;&gt; 0, Source!BS137, 1)</f>
        <v>1</v>
      </c>
      <c r="J256" s="22">
        <f>Source!R137</f>
        <v>20806.93</v>
      </c>
      <c r="K256" s="21"/>
    </row>
    <row r="257" spans="1:22" ht="14.5" x14ac:dyDescent="0.35">
      <c r="A257" s="18"/>
      <c r="B257" s="18"/>
      <c r="C257" s="18" t="s">
        <v>356</v>
      </c>
      <c r="D257" s="19" t="s">
        <v>354</v>
      </c>
      <c r="E257" s="8">
        <f>Source!AT137</f>
        <v>70</v>
      </c>
      <c r="F257" s="21"/>
      <c r="G257" s="20"/>
      <c r="H257" s="8"/>
      <c r="I257" s="8"/>
      <c r="J257" s="21">
        <f>SUM(R253:R256)</f>
        <v>2660393.86</v>
      </c>
      <c r="K257" s="21"/>
    </row>
    <row r="258" spans="1:22" ht="14.5" x14ac:dyDescent="0.35">
      <c r="A258" s="18"/>
      <c r="B258" s="18"/>
      <c r="C258" s="18" t="s">
        <v>357</v>
      </c>
      <c r="D258" s="19" t="s">
        <v>354</v>
      </c>
      <c r="E258" s="8">
        <f>Source!AU137</f>
        <v>10</v>
      </c>
      <c r="F258" s="21"/>
      <c r="G258" s="20"/>
      <c r="H258" s="8"/>
      <c r="I258" s="8"/>
      <c r="J258" s="21">
        <f>SUM(T253:T257)</f>
        <v>380056.27</v>
      </c>
      <c r="K258" s="21"/>
    </row>
    <row r="259" spans="1:22" ht="14.5" x14ac:dyDescent="0.35">
      <c r="A259" s="18"/>
      <c r="B259" s="18"/>
      <c r="C259" s="18" t="s">
        <v>353</v>
      </c>
      <c r="D259" s="19" t="s">
        <v>354</v>
      </c>
      <c r="E259" s="8">
        <f>108</f>
        <v>108</v>
      </c>
      <c r="F259" s="21"/>
      <c r="G259" s="20"/>
      <c r="H259" s="8"/>
      <c r="I259" s="8"/>
      <c r="J259" s="21">
        <f>SUM(V253:V258)</f>
        <v>22471.48</v>
      </c>
      <c r="K259" s="21"/>
    </row>
    <row r="260" spans="1:22" ht="14.5" x14ac:dyDescent="0.35">
      <c r="A260" s="18"/>
      <c r="B260" s="18"/>
      <c r="C260" s="18" t="s">
        <v>358</v>
      </c>
      <c r="D260" s="19" t="s">
        <v>359</v>
      </c>
      <c r="E260" s="8">
        <f>Source!AQ137</f>
        <v>0.98</v>
      </c>
      <c r="F260" s="21"/>
      <c r="G260" s="20" t="str">
        <f>Source!DI137</f>
        <v>)*10</v>
      </c>
      <c r="H260" s="8">
        <f>Source!AV137</f>
        <v>1</v>
      </c>
      <c r="I260" s="8"/>
      <c r="J260" s="21"/>
      <c r="K260" s="21">
        <f>Source!U137</f>
        <v>8288.9380000000001</v>
      </c>
    </row>
    <row r="261" spans="1:22" ht="14" x14ac:dyDescent="0.3">
      <c r="A261" s="25"/>
      <c r="B261" s="25"/>
      <c r="C261" s="25"/>
      <c r="D261" s="25"/>
      <c r="E261" s="25"/>
      <c r="F261" s="25"/>
      <c r="G261" s="25"/>
      <c r="H261" s="25"/>
      <c r="I261" s="52">
        <f>J254+J255+J257+J258+J259</f>
        <v>7070200.2200000007</v>
      </c>
      <c r="J261" s="52"/>
      <c r="K261" s="26">
        <f>IF(Source!I137&lt;&gt;0, ROUND(I261/Source!I137, 2), 0)</f>
        <v>8359.09</v>
      </c>
      <c r="P261" s="23">
        <f>I261</f>
        <v>7070200.2200000007</v>
      </c>
    </row>
    <row r="262" spans="1:22" ht="56" x14ac:dyDescent="0.35">
      <c r="A262" s="18">
        <v>31</v>
      </c>
      <c r="B262" s="18" t="str">
        <f>Source!F140</f>
        <v>5.4-3405-22-1/1</v>
      </c>
      <c r="C262" s="18" t="str">
        <f>Source!G140</f>
        <v>Внесение минеральных удобрений - равномерное внесение в почву сухих минеральных удобрений (без стоимости материалов) (50%)</v>
      </c>
      <c r="D262" s="19" t="str">
        <f>Source!H140</f>
        <v>100 м2</v>
      </c>
      <c r="E262" s="8">
        <f>Source!I140</f>
        <v>422.90499999999997</v>
      </c>
      <c r="F262" s="21"/>
      <c r="G262" s="20"/>
      <c r="H262" s="8"/>
      <c r="I262" s="8"/>
      <c r="J262" s="21"/>
      <c r="K262" s="21"/>
      <c r="Q262">
        <f>ROUND((Source!BZ140/100)*ROUND((Source!AF140*Source!AV140)*Source!I140, 2), 2)</f>
        <v>104076.5</v>
      </c>
      <c r="R262">
        <f>Source!X140</f>
        <v>104076.5</v>
      </c>
      <c r="S262">
        <f>ROUND((Source!CA140/100)*ROUND((Source!AF140*Source!AV140)*Source!I140, 2), 2)</f>
        <v>14868.07</v>
      </c>
      <c r="T262">
        <f>Source!Y140</f>
        <v>14868.07</v>
      </c>
      <c r="U262">
        <f>ROUND((175/100)*ROUND((Source!AE140*Source!AV140)*Source!I140, 2), 2)</f>
        <v>0</v>
      </c>
      <c r="V262">
        <f>ROUND((108/100)*ROUND(Source!CS140*Source!I140, 2), 2)</f>
        <v>0</v>
      </c>
    </row>
    <row r="263" spans="1:22" x14ac:dyDescent="0.25">
      <c r="C263" s="28" t="str">
        <f>"Объем: "&amp;Source!I140&amp;"=42290,5/"&amp;"100"</f>
        <v>Объем: 422,905=42290,5/100</v>
      </c>
    </row>
    <row r="264" spans="1:22" ht="14.5" x14ac:dyDescent="0.35">
      <c r="A264" s="18"/>
      <c r="B264" s="18"/>
      <c r="C264" s="18" t="s">
        <v>355</v>
      </c>
      <c r="D264" s="19"/>
      <c r="E264" s="8"/>
      <c r="F264" s="21">
        <f>Source!AO140</f>
        <v>351.57</v>
      </c>
      <c r="G264" s="20" t="str">
        <f>Source!DG140</f>
        <v/>
      </c>
      <c r="H264" s="8">
        <f>Source!AV140</f>
        <v>1</v>
      </c>
      <c r="I264" s="8">
        <f>IF(Source!BA140&lt;&gt; 0, Source!BA140, 1)</f>
        <v>1</v>
      </c>
      <c r="J264" s="21">
        <f>Source!S140</f>
        <v>148680.71</v>
      </c>
      <c r="K264" s="21"/>
    </row>
    <row r="265" spans="1:22" ht="28" x14ac:dyDescent="0.35">
      <c r="A265" s="18" t="s">
        <v>217</v>
      </c>
      <c r="B265" s="18" t="str">
        <f>Source!F141</f>
        <v>21.4-4-17</v>
      </c>
      <c r="C265" s="18" t="str">
        <f>Source!G141</f>
        <v>Удобрения комплексные минеральные для газонов</v>
      </c>
      <c r="D265" s="19" t="str">
        <f>Source!H141</f>
        <v>кг</v>
      </c>
      <c r="E265" s="8">
        <f>Source!I141</f>
        <v>2114.5250000000001</v>
      </c>
      <c r="F265" s="21">
        <f>Source!AK141</f>
        <v>109.62</v>
      </c>
      <c r="G265" s="27" t="s">
        <v>3</v>
      </c>
      <c r="H265" s="8">
        <f>Source!AW141</f>
        <v>1</v>
      </c>
      <c r="I265" s="8">
        <f>IF(Source!BC141&lt;&gt; 0, Source!BC141, 1)</f>
        <v>1</v>
      </c>
      <c r="J265" s="21">
        <f>Source!O141</f>
        <v>231794.23</v>
      </c>
      <c r="K265" s="21"/>
      <c r="Q265">
        <f>ROUND((Source!BZ141/100)*ROUND((Source!AF141*Source!AV141)*Source!I141, 2), 2)</f>
        <v>0</v>
      </c>
      <c r="R265">
        <f>Source!X141</f>
        <v>0</v>
      </c>
      <c r="S265">
        <f>ROUND((Source!CA141/100)*ROUND((Source!AF141*Source!AV141)*Source!I141, 2), 2)</f>
        <v>0</v>
      </c>
      <c r="T265">
        <f>Source!Y141</f>
        <v>0</v>
      </c>
      <c r="U265">
        <f>ROUND((175/100)*ROUND((Source!AE141*Source!AV141)*Source!I141, 2), 2)</f>
        <v>0</v>
      </c>
      <c r="V265">
        <f>ROUND((108/100)*ROUND(Source!CS141*Source!I141, 2), 2)</f>
        <v>0</v>
      </c>
    </row>
    <row r="266" spans="1:22" ht="14.5" x14ac:dyDescent="0.35">
      <c r="A266" s="18"/>
      <c r="B266" s="18"/>
      <c r="C266" s="18" t="s">
        <v>356</v>
      </c>
      <c r="D266" s="19" t="s">
        <v>354</v>
      </c>
      <c r="E266" s="8">
        <f>Source!AT140</f>
        <v>70</v>
      </c>
      <c r="F266" s="21"/>
      <c r="G266" s="20"/>
      <c r="H266" s="8"/>
      <c r="I266" s="8"/>
      <c r="J266" s="21">
        <f>SUM(R262:R265)</f>
        <v>104076.5</v>
      </c>
      <c r="K266" s="21"/>
    </row>
    <row r="267" spans="1:22" ht="14.5" x14ac:dyDescent="0.35">
      <c r="A267" s="18"/>
      <c r="B267" s="18"/>
      <c r="C267" s="18" t="s">
        <v>357</v>
      </c>
      <c r="D267" s="19" t="s">
        <v>354</v>
      </c>
      <c r="E267" s="8">
        <f>Source!AU140</f>
        <v>10</v>
      </c>
      <c r="F267" s="21"/>
      <c r="G267" s="20"/>
      <c r="H267" s="8"/>
      <c r="I267" s="8"/>
      <c r="J267" s="21">
        <f>SUM(T262:T266)</f>
        <v>14868.07</v>
      </c>
      <c r="K267" s="21"/>
    </row>
    <row r="268" spans="1:22" ht="14.5" x14ac:dyDescent="0.35">
      <c r="A268" s="18"/>
      <c r="B268" s="18"/>
      <c r="C268" s="18" t="s">
        <v>358</v>
      </c>
      <c r="D268" s="19" t="s">
        <v>359</v>
      </c>
      <c r="E268" s="8">
        <f>Source!AQ140</f>
        <v>0.7</v>
      </c>
      <c r="F268" s="21"/>
      <c r="G268" s="20" t="str">
        <f>Source!DI140</f>
        <v/>
      </c>
      <c r="H268" s="8">
        <f>Source!AV140</f>
        <v>1</v>
      </c>
      <c r="I268" s="8"/>
      <c r="J268" s="21"/>
      <c r="K268" s="21">
        <f>Source!U140</f>
        <v>296.03349999999995</v>
      </c>
    </row>
    <row r="269" spans="1:22" ht="14" x14ac:dyDescent="0.3">
      <c r="A269" s="25"/>
      <c r="B269" s="25"/>
      <c r="C269" s="25"/>
      <c r="D269" s="25"/>
      <c r="E269" s="25"/>
      <c r="F269" s="25"/>
      <c r="G269" s="25"/>
      <c r="H269" s="25"/>
      <c r="I269" s="52">
        <f>J264+J266+J267+SUM(J265:J265)</f>
        <v>499419.51</v>
      </c>
      <c r="J269" s="52"/>
      <c r="K269" s="26">
        <f>IF(Source!I140&lt;&gt;0, ROUND(I269/Source!I140, 2), 0)</f>
        <v>1180.93</v>
      </c>
      <c r="P269" s="23">
        <f>I269</f>
        <v>499419.51</v>
      </c>
    </row>
    <row r="270" spans="1:22" ht="42" x14ac:dyDescent="0.35">
      <c r="A270" s="18">
        <v>32</v>
      </c>
      <c r="B270" s="18" t="str">
        <f>Source!F142</f>
        <v>5.4-3405-16-1/1</v>
      </c>
      <c r="C270" s="18" t="str">
        <f>Source!G142</f>
        <v>Уход за кустарниками одиночными и в группах - вырезка сухих сучьев и мелкой суши в первые 1-3 года</v>
      </c>
      <c r="D270" s="19" t="str">
        <f>Source!H142</f>
        <v>100 кустов</v>
      </c>
      <c r="E270" s="8">
        <f>Source!I142</f>
        <v>7</v>
      </c>
      <c r="F270" s="21"/>
      <c r="G270" s="20"/>
      <c r="H270" s="8"/>
      <c r="I270" s="8"/>
      <c r="J270" s="21"/>
      <c r="K270" s="21"/>
      <c r="Q270">
        <f>ROUND((Source!BZ142/100)*ROUND((Source!AF142*Source!AV142)*Source!I142, 2), 2)</f>
        <v>4887.46</v>
      </c>
      <c r="R270">
        <f>Source!X142</f>
        <v>4887.46</v>
      </c>
      <c r="S270">
        <f>ROUND((Source!CA142/100)*ROUND((Source!AF142*Source!AV142)*Source!I142, 2), 2)</f>
        <v>698.21</v>
      </c>
      <c r="T270">
        <f>Source!Y142</f>
        <v>698.21</v>
      </c>
      <c r="U270">
        <f>ROUND((175/100)*ROUND((Source!AE142*Source!AV142)*Source!I142, 2), 2)</f>
        <v>0</v>
      </c>
      <c r="V270">
        <f>ROUND((108/100)*ROUND(Source!CS142*Source!I142, 2), 2)</f>
        <v>0</v>
      </c>
    </row>
    <row r="271" spans="1:22" ht="14.5" x14ac:dyDescent="0.35">
      <c r="A271" s="18"/>
      <c r="B271" s="18"/>
      <c r="C271" s="18" t="s">
        <v>355</v>
      </c>
      <c r="D271" s="19"/>
      <c r="E271" s="8"/>
      <c r="F271" s="21">
        <f>Source!AO142</f>
        <v>997.44</v>
      </c>
      <c r="G271" s="20" t="str">
        <f>Source!DG142</f>
        <v/>
      </c>
      <c r="H271" s="8">
        <f>Source!AV142</f>
        <v>1</v>
      </c>
      <c r="I271" s="8">
        <f>IF(Source!BA142&lt;&gt; 0, Source!BA142, 1)</f>
        <v>1</v>
      </c>
      <c r="J271" s="21">
        <f>Source!S142</f>
        <v>6982.08</v>
      </c>
      <c r="K271" s="21"/>
    </row>
    <row r="272" spans="1:22" ht="14.5" x14ac:dyDescent="0.35">
      <c r="A272" s="18"/>
      <c r="B272" s="18"/>
      <c r="C272" s="18" t="s">
        <v>356</v>
      </c>
      <c r="D272" s="19" t="s">
        <v>354</v>
      </c>
      <c r="E272" s="8">
        <f>Source!AT142</f>
        <v>70</v>
      </c>
      <c r="F272" s="21"/>
      <c r="G272" s="20"/>
      <c r="H272" s="8"/>
      <c r="I272" s="8"/>
      <c r="J272" s="21">
        <f>SUM(R270:R271)</f>
        <v>4887.46</v>
      </c>
      <c r="K272" s="21"/>
    </row>
    <row r="273" spans="1:22" ht="14.5" x14ac:dyDescent="0.35">
      <c r="A273" s="18"/>
      <c r="B273" s="18"/>
      <c r="C273" s="18" t="s">
        <v>357</v>
      </c>
      <c r="D273" s="19" t="s">
        <v>354</v>
      </c>
      <c r="E273" s="8">
        <f>Source!AU142</f>
        <v>10</v>
      </c>
      <c r="F273" s="21"/>
      <c r="G273" s="20"/>
      <c r="H273" s="8"/>
      <c r="I273" s="8"/>
      <c r="J273" s="21">
        <f>SUM(T270:T272)</f>
        <v>698.21</v>
      </c>
      <c r="K273" s="21"/>
    </row>
    <row r="274" spans="1:22" ht="14.5" x14ac:dyDescent="0.35">
      <c r="A274" s="18"/>
      <c r="B274" s="18"/>
      <c r="C274" s="18" t="s">
        <v>358</v>
      </c>
      <c r="D274" s="19" t="s">
        <v>359</v>
      </c>
      <c r="E274" s="8">
        <f>Source!AQ142</f>
        <v>1.73</v>
      </c>
      <c r="F274" s="21"/>
      <c r="G274" s="20" t="str">
        <f>Source!DI142</f>
        <v/>
      </c>
      <c r="H274" s="8">
        <f>Source!AV142</f>
        <v>1</v>
      </c>
      <c r="I274" s="8"/>
      <c r="J274" s="21"/>
      <c r="K274" s="21">
        <f>Source!U142</f>
        <v>12.11</v>
      </c>
    </row>
    <row r="275" spans="1:22" ht="14" x14ac:dyDescent="0.3">
      <c r="A275" s="25"/>
      <c r="B275" s="25"/>
      <c r="C275" s="25"/>
      <c r="D275" s="25"/>
      <c r="E275" s="25"/>
      <c r="F275" s="25"/>
      <c r="G275" s="25"/>
      <c r="H275" s="25"/>
      <c r="I275" s="52">
        <f>J271+J272+J273</f>
        <v>12567.75</v>
      </c>
      <c r="J275" s="52"/>
      <c r="K275" s="26">
        <f>IF(Source!I142&lt;&gt;0, ROUND(I275/Source!I142, 2), 0)</f>
        <v>1795.39</v>
      </c>
      <c r="P275" s="23">
        <f>I275</f>
        <v>12567.75</v>
      </c>
    </row>
    <row r="276" spans="1:22" ht="28" x14ac:dyDescent="0.35">
      <c r="A276" s="18">
        <v>33</v>
      </c>
      <c r="B276" s="18" t="str">
        <f>Source!F143</f>
        <v>5.4-3405-7-1/1</v>
      </c>
      <c r="C276" s="18" t="str">
        <f>Source!G143</f>
        <v>Полив зеленых насаждений из шланга поливомоечной машины (20 л на 1 м2)</v>
      </c>
      <c r="D276" s="19" t="str">
        <f>Source!H143</f>
        <v>м3</v>
      </c>
      <c r="E276" s="8">
        <f>Source!I143</f>
        <v>14</v>
      </c>
      <c r="F276" s="21"/>
      <c r="G276" s="20"/>
      <c r="H276" s="8"/>
      <c r="I276" s="8"/>
      <c r="J276" s="21"/>
      <c r="K276" s="21"/>
      <c r="Q276">
        <f>ROUND((Source!BZ143/100)*ROUND((Source!AF143*Source!AV143)*Source!I143, 2), 2)</f>
        <v>35748.44</v>
      </c>
      <c r="R276">
        <f>Source!X143</f>
        <v>35748.44</v>
      </c>
      <c r="S276">
        <f>ROUND((Source!CA143/100)*ROUND((Source!AF143*Source!AV143)*Source!I143, 2), 2)</f>
        <v>5106.92</v>
      </c>
      <c r="T276">
        <f>Source!Y143</f>
        <v>5106.92</v>
      </c>
      <c r="U276">
        <f>ROUND((175/100)*ROUND((Source!AE143*Source!AV143)*Source!I143, 2), 2)</f>
        <v>152125.4</v>
      </c>
      <c r="V276">
        <f>ROUND((108/100)*ROUND(Source!CS143*Source!I143, 2), 2)</f>
        <v>93883.1</v>
      </c>
    </row>
    <row r="277" spans="1:22" ht="14.5" x14ac:dyDescent="0.35">
      <c r="A277" s="18"/>
      <c r="B277" s="18"/>
      <c r="C277" s="18" t="s">
        <v>355</v>
      </c>
      <c r="D277" s="19"/>
      <c r="E277" s="8"/>
      <c r="F277" s="21">
        <f>Source!AO143</f>
        <v>182.39</v>
      </c>
      <c r="G277" s="20" t="str">
        <f>Source!DG143</f>
        <v>)*20</v>
      </c>
      <c r="H277" s="8">
        <f>Source!AV143</f>
        <v>1</v>
      </c>
      <c r="I277" s="8">
        <f>IF(Source!BA143&lt;&gt; 0, Source!BA143, 1)</f>
        <v>1</v>
      </c>
      <c r="J277" s="21">
        <f>Source!S143</f>
        <v>51069.2</v>
      </c>
      <c r="K277" s="21"/>
    </row>
    <row r="278" spans="1:22" ht="14.5" x14ac:dyDescent="0.35">
      <c r="A278" s="18"/>
      <c r="B278" s="18"/>
      <c r="C278" s="18" t="s">
        <v>351</v>
      </c>
      <c r="D278" s="19"/>
      <c r="E278" s="8"/>
      <c r="F278" s="21">
        <f>Source!AM143</f>
        <v>899.27</v>
      </c>
      <c r="G278" s="20" t="str">
        <f>Source!DE143</f>
        <v>)*20</v>
      </c>
      <c r="H278" s="8">
        <f>Source!AV143</f>
        <v>1</v>
      </c>
      <c r="I278" s="8">
        <f>IF(Source!BB143&lt;&gt; 0, Source!BB143, 1)</f>
        <v>1</v>
      </c>
      <c r="J278" s="21">
        <f>Source!Q143</f>
        <v>251795.6</v>
      </c>
      <c r="K278" s="21"/>
    </row>
    <row r="279" spans="1:22" ht="14.5" x14ac:dyDescent="0.35">
      <c r="A279" s="18"/>
      <c r="B279" s="18"/>
      <c r="C279" s="18" t="s">
        <v>352</v>
      </c>
      <c r="D279" s="19"/>
      <c r="E279" s="8"/>
      <c r="F279" s="21">
        <f>Source!AN143</f>
        <v>310.45999999999998</v>
      </c>
      <c r="G279" s="20" t="str">
        <f>Source!DF143</f>
        <v>)*20</v>
      </c>
      <c r="H279" s="8">
        <f>Source!AV143</f>
        <v>1</v>
      </c>
      <c r="I279" s="8">
        <f>IF(Source!BS143&lt;&gt; 0, Source!BS143, 1)</f>
        <v>1</v>
      </c>
      <c r="J279" s="22">
        <f>Source!R143</f>
        <v>86928.8</v>
      </c>
      <c r="K279" s="21"/>
    </row>
    <row r="280" spans="1:22" ht="14.5" x14ac:dyDescent="0.35">
      <c r="A280" s="18"/>
      <c r="B280" s="18"/>
      <c r="C280" s="18" t="s">
        <v>360</v>
      </c>
      <c r="D280" s="19"/>
      <c r="E280" s="8"/>
      <c r="F280" s="21">
        <f>Source!AL143</f>
        <v>54.81</v>
      </c>
      <c r="G280" s="20" t="str">
        <f>Source!DD143</f>
        <v>)*20</v>
      </c>
      <c r="H280" s="8">
        <f>Source!AW143</f>
        <v>1</v>
      </c>
      <c r="I280" s="8">
        <f>IF(Source!BC143&lt;&gt; 0, Source!BC143, 1)</f>
        <v>1</v>
      </c>
      <c r="J280" s="21">
        <f>Source!P143</f>
        <v>15346.8</v>
      </c>
      <c r="K280" s="21"/>
    </row>
    <row r="281" spans="1:22" ht="14.5" x14ac:dyDescent="0.35">
      <c r="A281" s="18" t="s">
        <v>229</v>
      </c>
      <c r="B281" s="18" t="str">
        <f>Source!F144</f>
        <v>21.1-25-13</v>
      </c>
      <c r="C281" s="18" t="str">
        <f>Source!G144</f>
        <v>Вода</v>
      </c>
      <c r="D281" s="19" t="str">
        <f>Source!H144</f>
        <v>м3</v>
      </c>
      <c r="E281" s="8">
        <f>Source!I144</f>
        <v>-280</v>
      </c>
      <c r="F281" s="21">
        <f>Source!AK144</f>
        <v>54.81</v>
      </c>
      <c r="G281" s="27" t="s">
        <v>365</v>
      </c>
      <c r="H281" s="8">
        <f>Source!AW144</f>
        <v>1</v>
      </c>
      <c r="I281" s="8">
        <f>IF(Source!BC144&lt;&gt; 0, Source!BC144, 1)</f>
        <v>1</v>
      </c>
      <c r="J281" s="21">
        <f>Source!O144</f>
        <v>-15346.8</v>
      </c>
      <c r="K281" s="21"/>
      <c r="Q281">
        <f>ROUND((Source!BZ144/100)*ROUND((Source!AF144*Source!AV144)*Source!I144, 2), 2)</f>
        <v>0</v>
      </c>
      <c r="R281">
        <f>Source!X144</f>
        <v>0</v>
      </c>
      <c r="S281">
        <f>ROUND((Source!CA144/100)*ROUND((Source!AF144*Source!AV144)*Source!I144, 2), 2)</f>
        <v>0</v>
      </c>
      <c r="T281">
        <f>Source!Y144</f>
        <v>0</v>
      </c>
      <c r="U281">
        <f>ROUND((175/100)*ROUND((Source!AE144*Source!AV144)*Source!I144, 2), 2)</f>
        <v>0</v>
      </c>
      <c r="V281">
        <f>ROUND((108/100)*ROUND(Source!CS144*Source!I144, 2), 2)</f>
        <v>0</v>
      </c>
    </row>
    <row r="282" spans="1:22" ht="14.5" x14ac:dyDescent="0.35">
      <c r="A282" s="18"/>
      <c r="B282" s="18"/>
      <c r="C282" s="18" t="s">
        <v>356</v>
      </c>
      <c r="D282" s="19" t="s">
        <v>354</v>
      </c>
      <c r="E282" s="8">
        <f>Source!AT143</f>
        <v>70</v>
      </c>
      <c r="F282" s="21"/>
      <c r="G282" s="20"/>
      <c r="H282" s="8"/>
      <c r="I282" s="8"/>
      <c r="J282" s="21">
        <f>SUM(R276:R281)</f>
        <v>35748.44</v>
      </c>
      <c r="K282" s="21"/>
    </row>
    <row r="283" spans="1:22" ht="14.5" x14ac:dyDescent="0.35">
      <c r="A283" s="18"/>
      <c r="B283" s="18"/>
      <c r="C283" s="18" t="s">
        <v>357</v>
      </c>
      <c r="D283" s="19" t="s">
        <v>354</v>
      </c>
      <c r="E283" s="8">
        <f>Source!AU143</f>
        <v>10</v>
      </c>
      <c r="F283" s="21"/>
      <c r="G283" s="20"/>
      <c r="H283" s="8"/>
      <c r="I283" s="8"/>
      <c r="J283" s="21">
        <f>SUM(T276:T282)</f>
        <v>5106.92</v>
      </c>
      <c r="K283" s="21"/>
    </row>
    <row r="284" spans="1:22" ht="14.5" x14ac:dyDescent="0.35">
      <c r="A284" s="18"/>
      <c r="B284" s="18"/>
      <c r="C284" s="18" t="s">
        <v>353</v>
      </c>
      <c r="D284" s="19" t="s">
        <v>354</v>
      </c>
      <c r="E284" s="8">
        <f>108</f>
        <v>108</v>
      </c>
      <c r="F284" s="21"/>
      <c r="G284" s="20"/>
      <c r="H284" s="8"/>
      <c r="I284" s="8"/>
      <c r="J284" s="21">
        <f>SUM(V276:V283)</f>
        <v>93883.1</v>
      </c>
      <c r="K284" s="21"/>
    </row>
    <row r="285" spans="1:22" ht="14.5" x14ac:dyDescent="0.35">
      <c r="A285" s="18"/>
      <c r="B285" s="18"/>
      <c r="C285" s="18" t="s">
        <v>358</v>
      </c>
      <c r="D285" s="19" t="s">
        <v>359</v>
      </c>
      <c r="E285" s="8">
        <f>Source!AQ143</f>
        <v>0.56000000000000005</v>
      </c>
      <c r="F285" s="21"/>
      <c r="G285" s="20" t="str">
        <f>Source!DI143</f>
        <v>)*20</v>
      </c>
      <c r="H285" s="8">
        <f>Source!AV143</f>
        <v>1</v>
      </c>
      <c r="I285" s="8"/>
      <c r="J285" s="21"/>
      <c r="K285" s="21">
        <f>Source!U143</f>
        <v>156.80000000000001</v>
      </c>
    </row>
    <row r="286" spans="1:22" ht="14" x14ac:dyDescent="0.3">
      <c r="A286" s="25"/>
      <c r="B286" s="25"/>
      <c r="C286" s="25"/>
      <c r="D286" s="25"/>
      <c r="E286" s="25"/>
      <c r="F286" s="25"/>
      <c r="G286" s="25"/>
      <c r="H286" s="25"/>
      <c r="I286" s="52">
        <f>J277+J278+J280+J282+J283+J284+SUM(J281:J281)</f>
        <v>437603.25999999995</v>
      </c>
      <c r="J286" s="52"/>
      <c r="K286" s="26">
        <f>IF(Source!I143&lt;&gt;0, ROUND(I286/Source!I143, 2), 0)</f>
        <v>31257.38</v>
      </c>
      <c r="P286" s="23">
        <f>I286</f>
        <v>437603.25999999995</v>
      </c>
    </row>
    <row r="287" spans="1:22" ht="28" x14ac:dyDescent="0.35">
      <c r="A287" s="18">
        <v>34</v>
      </c>
      <c r="B287" s="18" t="str">
        <f>Source!F145</f>
        <v>5.4-3405-7-1/1</v>
      </c>
      <c r="C287" s="18" t="str">
        <f>Source!G145</f>
        <v>Полив зеленых насаждений из шланга поливомоечной машины (5 л на 1 м2)</v>
      </c>
      <c r="D287" s="19" t="str">
        <f>Source!H145</f>
        <v>м3</v>
      </c>
      <c r="E287" s="8">
        <f>Source!I145</f>
        <v>17.55</v>
      </c>
      <c r="F287" s="21"/>
      <c r="G287" s="20"/>
      <c r="H287" s="8"/>
      <c r="I287" s="8"/>
      <c r="J287" s="21"/>
      <c r="K287" s="21"/>
      <c r="Q287">
        <f>ROUND((Source!BZ145/100)*ROUND((Source!AF145*Source!AV145)*Source!I145, 2), 2)</f>
        <v>44813.22</v>
      </c>
      <c r="R287">
        <f>Source!X145</f>
        <v>44813.22</v>
      </c>
      <c r="S287">
        <f>ROUND((Source!CA145/100)*ROUND((Source!AF145*Source!AV145)*Source!I145, 2), 2)</f>
        <v>6401.89</v>
      </c>
      <c r="T287">
        <f>Source!Y145</f>
        <v>6401.89</v>
      </c>
      <c r="U287">
        <f>ROUND((175/100)*ROUND((Source!AE145*Source!AV145)*Source!I145, 2), 2)</f>
        <v>190700.06</v>
      </c>
      <c r="V287">
        <f>ROUND((108/100)*ROUND(Source!CS145*Source!I145, 2), 2)</f>
        <v>117689.18</v>
      </c>
    </row>
    <row r="288" spans="1:22" ht="14.5" x14ac:dyDescent="0.35">
      <c r="A288" s="18"/>
      <c r="B288" s="18"/>
      <c r="C288" s="18" t="s">
        <v>355</v>
      </c>
      <c r="D288" s="19"/>
      <c r="E288" s="8"/>
      <c r="F288" s="21">
        <f>Source!AO145</f>
        <v>182.39</v>
      </c>
      <c r="G288" s="20" t="str">
        <f>Source!DG145</f>
        <v>)*20</v>
      </c>
      <c r="H288" s="8">
        <f>Source!AV145</f>
        <v>1</v>
      </c>
      <c r="I288" s="8">
        <f>IF(Source!BA145&lt;&gt; 0, Source!BA145, 1)</f>
        <v>1</v>
      </c>
      <c r="J288" s="21">
        <f>Source!S145</f>
        <v>64018.89</v>
      </c>
      <c r="K288" s="21"/>
    </row>
    <row r="289" spans="1:22" ht="14.5" x14ac:dyDescent="0.35">
      <c r="A289" s="18"/>
      <c r="B289" s="18"/>
      <c r="C289" s="18" t="s">
        <v>351</v>
      </c>
      <c r="D289" s="19"/>
      <c r="E289" s="8"/>
      <c r="F289" s="21">
        <f>Source!AM145</f>
        <v>899.27</v>
      </c>
      <c r="G289" s="20" t="str">
        <f>Source!DE145</f>
        <v>)*20</v>
      </c>
      <c r="H289" s="8">
        <f>Source!AV145</f>
        <v>1</v>
      </c>
      <c r="I289" s="8">
        <f>IF(Source!BB145&lt;&gt; 0, Source!BB145, 1)</f>
        <v>1</v>
      </c>
      <c r="J289" s="21">
        <f>Source!Q145</f>
        <v>315643.77</v>
      </c>
      <c r="K289" s="21"/>
    </row>
    <row r="290" spans="1:22" ht="14.5" x14ac:dyDescent="0.35">
      <c r="A290" s="18"/>
      <c r="B290" s="18"/>
      <c r="C290" s="18" t="s">
        <v>352</v>
      </c>
      <c r="D290" s="19"/>
      <c r="E290" s="8"/>
      <c r="F290" s="21">
        <f>Source!AN145</f>
        <v>310.45999999999998</v>
      </c>
      <c r="G290" s="20" t="str">
        <f>Source!DF145</f>
        <v>)*20</v>
      </c>
      <c r="H290" s="8">
        <f>Source!AV145</f>
        <v>1</v>
      </c>
      <c r="I290" s="8">
        <f>IF(Source!BS145&lt;&gt; 0, Source!BS145, 1)</f>
        <v>1</v>
      </c>
      <c r="J290" s="22">
        <f>Source!R145</f>
        <v>108971.46</v>
      </c>
      <c r="K290" s="21"/>
    </row>
    <row r="291" spans="1:22" ht="14.5" x14ac:dyDescent="0.35">
      <c r="A291" s="18"/>
      <c r="B291" s="18"/>
      <c r="C291" s="18" t="s">
        <v>360</v>
      </c>
      <c r="D291" s="19"/>
      <c r="E291" s="8"/>
      <c r="F291" s="21">
        <f>Source!AL145</f>
        <v>54.81</v>
      </c>
      <c r="G291" s="20" t="str">
        <f>Source!DD145</f>
        <v>)*20</v>
      </c>
      <c r="H291" s="8">
        <f>Source!AW145</f>
        <v>1</v>
      </c>
      <c r="I291" s="8">
        <f>IF(Source!BC145&lt;&gt; 0, Source!BC145, 1)</f>
        <v>1</v>
      </c>
      <c r="J291" s="21">
        <f>Source!P145</f>
        <v>19238.310000000001</v>
      </c>
      <c r="K291" s="21"/>
    </row>
    <row r="292" spans="1:22" ht="14.5" x14ac:dyDescent="0.35">
      <c r="A292" s="18" t="s">
        <v>232</v>
      </c>
      <c r="B292" s="18" t="str">
        <f>Source!F146</f>
        <v>21.1-25-13</v>
      </c>
      <c r="C292" s="18" t="str">
        <f>Source!G146</f>
        <v>Вода</v>
      </c>
      <c r="D292" s="19" t="str">
        <f>Source!H146</f>
        <v>м3</v>
      </c>
      <c r="E292" s="8">
        <f>Source!I146</f>
        <v>-351</v>
      </c>
      <c r="F292" s="21">
        <f>Source!AK146</f>
        <v>54.81</v>
      </c>
      <c r="G292" s="27" t="s">
        <v>365</v>
      </c>
      <c r="H292" s="8">
        <f>Source!AW146</f>
        <v>1</v>
      </c>
      <c r="I292" s="8">
        <f>IF(Source!BC146&lt;&gt; 0, Source!BC146, 1)</f>
        <v>1</v>
      </c>
      <c r="J292" s="21">
        <f>Source!O146</f>
        <v>-19238.310000000001</v>
      </c>
      <c r="K292" s="21"/>
      <c r="Q292">
        <f>ROUND((Source!BZ146/100)*ROUND((Source!AF146*Source!AV146)*Source!I146, 2), 2)</f>
        <v>0</v>
      </c>
      <c r="R292">
        <f>Source!X146</f>
        <v>0</v>
      </c>
      <c r="S292">
        <f>ROUND((Source!CA146/100)*ROUND((Source!AF146*Source!AV146)*Source!I146, 2), 2)</f>
        <v>0</v>
      </c>
      <c r="T292">
        <f>Source!Y146</f>
        <v>0</v>
      </c>
      <c r="U292">
        <f>ROUND((175/100)*ROUND((Source!AE146*Source!AV146)*Source!I146, 2), 2)</f>
        <v>0</v>
      </c>
      <c r="V292">
        <f>ROUND((108/100)*ROUND(Source!CS146*Source!I146, 2), 2)</f>
        <v>0</v>
      </c>
    </row>
    <row r="293" spans="1:22" ht="14.5" x14ac:dyDescent="0.35">
      <c r="A293" s="18"/>
      <c r="B293" s="18"/>
      <c r="C293" s="18" t="s">
        <v>356</v>
      </c>
      <c r="D293" s="19" t="s">
        <v>354</v>
      </c>
      <c r="E293" s="8">
        <f>Source!AT145</f>
        <v>70</v>
      </c>
      <c r="F293" s="21"/>
      <c r="G293" s="20"/>
      <c r="H293" s="8"/>
      <c r="I293" s="8"/>
      <c r="J293" s="21">
        <f>SUM(R287:R292)</f>
        <v>44813.22</v>
      </c>
      <c r="K293" s="21"/>
    </row>
    <row r="294" spans="1:22" ht="14.5" x14ac:dyDescent="0.35">
      <c r="A294" s="18"/>
      <c r="B294" s="18"/>
      <c r="C294" s="18" t="s">
        <v>357</v>
      </c>
      <c r="D294" s="19" t="s">
        <v>354</v>
      </c>
      <c r="E294" s="8">
        <f>Source!AU145</f>
        <v>10</v>
      </c>
      <c r="F294" s="21"/>
      <c r="G294" s="20"/>
      <c r="H294" s="8"/>
      <c r="I294" s="8"/>
      <c r="J294" s="21">
        <f>SUM(T287:T293)</f>
        <v>6401.89</v>
      </c>
      <c r="K294" s="21"/>
    </row>
    <row r="295" spans="1:22" ht="14.5" x14ac:dyDescent="0.35">
      <c r="A295" s="18"/>
      <c r="B295" s="18"/>
      <c r="C295" s="18" t="s">
        <v>353</v>
      </c>
      <c r="D295" s="19" t="s">
        <v>354</v>
      </c>
      <c r="E295" s="8">
        <f>108</f>
        <v>108</v>
      </c>
      <c r="F295" s="21"/>
      <c r="G295" s="20"/>
      <c r="H295" s="8"/>
      <c r="I295" s="8"/>
      <c r="J295" s="21">
        <f>SUM(V287:V294)</f>
        <v>117689.18</v>
      </c>
      <c r="K295" s="21"/>
    </row>
    <row r="296" spans="1:22" ht="14.5" x14ac:dyDescent="0.35">
      <c r="A296" s="18"/>
      <c r="B296" s="18"/>
      <c r="C296" s="18" t="s">
        <v>358</v>
      </c>
      <c r="D296" s="19" t="s">
        <v>359</v>
      </c>
      <c r="E296" s="8">
        <f>Source!AQ145</f>
        <v>0.56000000000000005</v>
      </c>
      <c r="F296" s="21"/>
      <c r="G296" s="20" t="str">
        <f>Source!DI145</f>
        <v>)*20</v>
      </c>
      <c r="H296" s="8">
        <f>Source!AV145</f>
        <v>1</v>
      </c>
      <c r="I296" s="8"/>
      <c r="J296" s="21"/>
      <c r="K296" s="21">
        <f>Source!U145</f>
        <v>196.56000000000003</v>
      </c>
    </row>
    <row r="297" spans="1:22" ht="14" x14ac:dyDescent="0.3">
      <c r="A297" s="25"/>
      <c r="B297" s="25"/>
      <c r="C297" s="25"/>
      <c r="D297" s="25"/>
      <c r="E297" s="25"/>
      <c r="F297" s="25"/>
      <c r="G297" s="25"/>
      <c r="H297" s="25"/>
      <c r="I297" s="52">
        <f>J288+J289+J291+J293+J294+J295+SUM(J292:J292)</f>
        <v>548566.94999999995</v>
      </c>
      <c r="J297" s="52"/>
      <c r="K297" s="26">
        <f>IF(Source!I145&lt;&gt;0, ROUND(I297/Source!I145, 2), 0)</f>
        <v>31257.38</v>
      </c>
      <c r="P297" s="23">
        <f>I297</f>
        <v>548566.94999999995</v>
      </c>
    </row>
    <row r="298" spans="1:22" ht="28" x14ac:dyDescent="0.35">
      <c r="A298" s="18">
        <v>35</v>
      </c>
      <c r="B298" s="18" t="str">
        <f>Source!F147</f>
        <v>5.4-3405-12-2/1</v>
      </c>
      <c r="C298" s="18" t="str">
        <f>Source!G147</f>
        <v>Прополка цветников с применением полотиков</v>
      </c>
      <c r="D298" s="19" t="str">
        <f>Source!H147</f>
        <v>100 м2</v>
      </c>
      <c r="E298" s="8">
        <f>Source!I147</f>
        <v>35.1</v>
      </c>
      <c r="F298" s="21"/>
      <c r="G298" s="20"/>
      <c r="H298" s="8"/>
      <c r="I298" s="8"/>
      <c r="J298" s="21"/>
      <c r="K298" s="21"/>
      <c r="Q298">
        <f>ROUND((Source!BZ147/100)*ROUND((Source!AF147*Source!AV147)*Source!I147, 2), 2)</f>
        <v>440224.13</v>
      </c>
      <c r="R298">
        <f>Source!X147</f>
        <v>440224.13</v>
      </c>
      <c r="S298">
        <f>ROUND((Source!CA147/100)*ROUND((Source!AF147*Source!AV147)*Source!I147, 2), 2)</f>
        <v>62889.16</v>
      </c>
      <c r="T298">
        <f>Source!Y147</f>
        <v>62889.16</v>
      </c>
      <c r="U298">
        <f>ROUND((175/100)*ROUND((Source!AE147*Source!AV147)*Source!I147, 2), 2)</f>
        <v>0</v>
      </c>
      <c r="V298">
        <f>ROUND((108/100)*ROUND(Source!CS147*Source!I147, 2), 2)</f>
        <v>0</v>
      </c>
    </row>
    <row r="299" spans="1:22" ht="14.5" x14ac:dyDescent="0.35">
      <c r="A299" s="18"/>
      <c r="B299" s="18"/>
      <c r="C299" s="18" t="s">
        <v>355</v>
      </c>
      <c r="D299" s="19"/>
      <c r="E299" s="8"/>
      <c r="F299" s="21">
        <f>Source!AO147</f>
        <v>2986.19</v>
      </c>
      <c r="G299" s="20" t="str">
        <f>Source!DG147</f>
        <v>)*6</v>
      </c>
      <c r="H299" s="8">
        <f>Source!AV147</f>
        <v>1</v>
      </c>
      <c r="I299" s="8">
        <f>IF(Source!BA147&lt;&gt; 0, Source!BA147, 1)</f>
        <v>1</v>
      </c>
      <c r="J299" s="21">
        <f>Source!S147</f>
        <v>628891.61</v>
      </c>
      <c r="K299" s="21"/>
    </row>
    <row r="300" spans="1:22" ht="14.5" x14ac:dyDescent="0.35">
      <c r="A300" s="18"/>
      <c r="B300" s="18"/>
      <c r="C300" s="18" t="s">
        <v>356</v>
      </c>
      <c r="D300" s="19" t="s">
        <v>354</v>
      </c>
      <c r="E300" s="8">
        <f>Source!AT147</f>
        <v>70</v>
      </c>
      <c r="F300" s="21"/>
      <c r="G300" s="20"/>
      <c r="H300" s="8"/>
      <c r="I300" s="8"/>
      <c r="J300" s="21">
        <f>SUM(R298:R299)</f>
        <v>440224.13</v>
      </c>
      <c r="K300" s="21"/>
    </row>
    <row r="301" spans="1:22" ht="14.5" x14ac:dyDescent="0.35">
      <c r="A301" s="18"/>
      <c r="B301" s="18"/>
      <c r="C301" s="18" t="s">
        <v>357</v>
      </c>
      <c r="D301" s="19" t="s">
        <v>354</v>
      </c>
      <c r="E301" s="8">
        <f>Source!AU147</f>
        <v>10</v>
      </c>
      <c r="F301" s="21"/>
      <c r="G301" s="20"/>
      <c r="H301" s="8"/>
      <c r="I301" s="8"/>
      <c r="J301" s="21">
        <f>SUM(T298:T300)</f>
        <v>62889.16</v>
      </c>
      <c r="K301" s="21"/>
    </row>
    <row r="302" spans="1:22" ht="14.5" x14ac:dyDescent="0.35">
      <c r="A302" s="18"/>
      <c r="B302" s="18"/>
      <c r="C302" s="18" t="s">
        <v>358</v>
      </c>
      <c r="D302" s="19" t="s">
        <v>359</v>
      </c>
      <c r="E302" s="8">
        <f>Source!AQ147</f>
        <v>6.59</v>
      </c>
      <c r="F302" s="21"/>
      <c r="G302" s="20" t="str">
        <f>Source!DI147</f>
        <v>)*6</v>
      </c>
      <c r="H302" s="8">
        <f>Source!AV147</f>
        <v>1</v>
      </c>
      <c r="I302" s="8"/>
      <c r="J302" s="21"/>
      <c r="K302" s="21">
        <f>Source!U147</f>
        <v>1387.854</v>
      </c>
    </row>
    <row r="303" spans="1:22" ht="14" x14ac:dyDescent="0.3">
      <c r="A303" s="25"/>
      <c r="B303" s="25"/>
      <c r="C303" s="25"/>
      <c r="D303" s="25"/>
      <c r="E303" s="25"/>
      <c r="F303" s="25"/>
      <c r="G303" s="25"/>
      <c r="H303" s="25"/>
      <c r="I303" s="52">
        <f>J299+J300+J301</f>
        <v>1132004.8999999999</v>
      </c>
      <c r="J303" s="52"/>
      <c r="K303" s="26">
        <f>IF(Source!I147&lt;&gt;0, ROUND(I303/Source!I147, 2), 0)</f>
        <v>32250.85</v>
      </c>
      <c r="P303" s="23">
        <f>I303</f>
        <v>1132004.8999999999</v>
      </c>
    </row>
    <row r="304" spans="1:22" ht="28" x14ac:dyDescent="0.35">
      <c r="A304" s="18">
        <v>36</v>
      </c>
      <c r="B304" s="18" t="str">
        <f>Source!F148</f>
        <v>5.4-3405-19-1/1</v>
      </c>
      <c r="C304" s="18" t="str">
        <f>Source!G148</f>
        <v>Обрезка стеблей отцветших цветочных растений и относ их за пределы цветника</v>
      </c>
      <c r="D304" s="19" t="str">
        <f>Source!H148</f>
        <v>100 м2</v>
      </c>
      <c r="E304" s="8">
        <f>Source!I148</f>
        <v>35.1</v>
      </c>
      <c r="F304" s="21"/>
      <c r="G304" s="20"/>
      <c r="H304" s="8"/>
      <c r="I304" s="8"/>
      <c r="J304" s="21"/>
      <c r="K304" s="21"/>
      <c r="Q304">
        <f>ROUND((Source!BZ148/100)*ROUND((Source!AF148*Source!AV148)*Source!I148, 2), 2)</f>
        <v>53051.3</v>
      </c>
      <c r="R304">
        <f>Source!X148</f>
        <v>53051.3</v>
      </c>
      <c r="S304">
        <f>ROUND((Source!CA148/100)*ROUND((Source!AF148*Source!AV148)*Source!I148, 2), 2)</f>
        <v>7578.76</v>
      </c>
      <c r="T304">
        <f>Source!Y148</f>
        <v>7578.76</v>
      </c>
      <c r="U304">
        <f>ROUND((175/100)*ROUND((Source!AE148*Source!AV148)*Source!I148, 2), 2)</f>
        <v>0</v>
      </c>
      <c r="V304">
        <f>ROUND((108/100)*ROUND(Source!CS148*Source!I148, 2), 2)</f>
        <v>0</v>
      </c>
    </row>
    <row r="305" spans="1:22" x14ac:dyDescent="0.25">
      <c r="C305" s="28" t="str">
        <f>"Объем: "&amp;Source!I148&amp;"=3510/"&amp;"100"</f>
        <v>Объем: 35,1=3510/100</v>
      </c>
    </row>
    <row r="306" spans="1:22" ht="14.5" x14ac:dyDescent="0.35">
      <c r="A306" s="18"/>
      <c r="B306" s="18"/>
      <c r="C306" s="18" t="s">
        <v>355</v>
      </c>
      <c r="D306" s="19"/>
      <c r="E306" s="8"/>
      <c r="F306" s="21">
        <f>Source!AO148</f>
        <v>719.73</v>
      </c>
      <c r="G306" s="20" t="str">
        <f>Source!DG148</f>
        <v>)*3</v>
      </c>
      <c r="H306" s="8">
        <f>Source!AV148</f>
        <v>1</v>
      </c>
      <c r="I306" s="8">
        <f>IF(Source!BA148&lt;&gt; 0, Source!BA148, 1)</f>
        <v>1</v>
      </c>
      <c r="J306" s="21">
        <f>Source!S148</f>
        <v>75787.570000000007</v>
      </c>
      <c r="K306" s="21"/>
    </row>
    <row r="307" spans="1:22" ht="14.5" x14ac:dyDescent="0.35">
      <c r="A307" s="18"/>
      <c r="B307" s="18"/>
      <c r="C307" s="18" t="s">
        <v>356</v>
      </c>
      <c r="D307" s="19" t="s">
        <v>354</v>
      </c>
      <c r="E307" s="8">
        <f>Source!AT148</f>
        <v>70</v>
      </c>
      <c r="F307" s="21"/>
      <c r="G307" s="20"/>
      <c r="H307" s="8"/>
      <c r="I307" s="8"/>
      <c r="J307" s="21">
        <f>SUM(R304:R306)</f>
        <v>53051.3</v>
      </c>
      <c r="K307" s="21"/>
    </row>
    <row r="308" spans="1:22" ht="14.5" x14ac:dyDescent="0.35">
      <c r="A308" s="18"/>
      <c r="B308" s="18"/>
      <c r="C308" s="18" t="s">
        <v>357</v>
      </c>
      <c r="D308" s="19" t="s">
        <v>354</v>
      </c>
      <c r="E308" s="8">
        <f>Source!AU148</f>
        <v>10</v>
      </c>
      <c r="F308" s="21"/>
      <c r="G308" s="20"/>
      <c r="H308" s="8"/>
      <c r="I308" s="8"/>
      <c r="J308" s="21">
        <f>SUM(T304:T307)</f>
        <v>7578.76</v>
      </c>
      <c r="K308" s="21"/>
    </row>
    <row r="309" spans="1:22" ht="14.5" x14ac:dyDescent="0.35">
      <c r="A309" s="18"/>
      <c r="B309" s="18"/>
      <c r="C309" s="18" t="s">
        <v>358</v>
      </c>
      <c r="D309" s="19" t="s">
        <v>359</v>
      </c>
      <c r="E309" s="8">
        <f>Source!AQ148</f>
        <v>1.42</v>
      </c>
      <c r="F309" s="21"/>
      <c r="G309" s="20" t="str">
        <f>Source!DI148</f>
        <v>)*3</v>
      </c>
      <c r="H309" s="8">
        <f>Source!AV148</f>
        <v>1</v>
      </c>
      <c r="I309" s="8"/>
      <c r="J309" s="21"/>
      <c r="K309" s="21">
        <f>Source!U148</f>
        <v>149.52600000000001</v>
      </c>
    </row>
    <row r="310" spans="1:22" ht="14" x14ac:dyDescent="0.3">
      <c r="A310" s="25"/>
      <c r="B310" s="25"/>
      <c r="C310" s="25"/>
      <c r="D310" s="25"/>
      <c r="E310" s="25"/>
      <c r="F310" s="25"/>
      <c r="G310" s="25"/>
      <c r="H310" s="25"/>
      <c r="I310" s="52">
        <f>J306+J307+J308</f>
        <v>136417.63</v>
      </c>
      <c r="J310" s="52"/>
      <c r="K310" s="26">
        <f>IF(Source!I148&lt;&gt;0, ROUND(I310/Source!I148, 2), 0)</f>
        <v>3886.54</v>
      </c>
      <c r="P310" s="23">
        <f>I310</f>
        <v>136417.63</v>
      </c>
    </row>
    <row r="311" spans="1:22" ht="84" x14ac:dyDescent="0.35">
      <c r="A311" s="18">
        <v>37</v>
      </c>
      <c r="B311" s="18" t="str">
        <f>Source!F149</f>
        <v>5.4-3405-24-1/1</v>
      </c>
      <c r="C311" s="18" t="str">
        <f>Source!G149</f>
        <v>Опрыскивание растений из ранцевого опрыскивателя комплексным органическим жидким многофункциональным удобрением на основе вермикомпоста (без стоимости удобрения)</v>
      </c>
      <c r="D311" s="19" t="str">
        <f>Source!H149</f>
        <v>100 м2</v>
      </c>
      <c r="E311" s="8">
        <f>Source!I149</f>
        <v>35.1</v>
      </c>
      <c r="F311" s="21"/>
      <c r="G311" s="20"/>
      <c r="H311" s="8"/>
      <c r="I311" s="8"/>
      <c r="J311" s="21"/>
      <c r="K311" s="21"/>
      <c r="Q311">
        <f>ROUND((Source!BZ149/100)*ROUND((Source!AF149*Source!AV149)*Source!I149, 2), 2)</f>
        <v>5825.55</v>
      </c>
      <c r="R311">
        <f>Source!X149</f>
        <v>5825.55</v>
      </c>
      <c r="S311">
        <f>ROUND((Source!CA149/100)*ROUND((Source!AF149*Source!AV149)*Source!I149, 2), 2)</f>
        <v>832.22</v>
      </c>
      <c r="T311">
        <f>Source!Y149</f>
        <v>832.22</v>
      </c>
      <c r="U311">
        <f>ROUND((175/100)*ROUND((Source!AE149*Source!AV149)*Source!I149, 2), 2)</f>
        <v>4.92</v>
      </c>
      <c r="V311">
        <f>ROUND((108/100)*ROUND(Source!CS149*Source!I149, 2), 2)</f>
        <v>3.03</v>
      </c>
    </row>
    <row r="312" spans="1:22" x14ac:dyDescent="0.25">
      <c r="C312" s="28" t="str">
        <f>"Объем: "&amp;Source!I149&amp;"=3510/"&amp;"100"</f>
        <v>Объем: 35,1=3510/100</v>
      </c>
    </row>
    <row r="313" spans="1:22" ht="14.5" x14ac:dyDescent="0.35">
      <c r="A313" s="18"/>
      <c r="B313" s="18"/>
      <c r="C313" s="18" t="s">
        <v>355</v>
      </c>
      <c r="D313" s="19"/>
      <c r="E313" s="8"/>
      <c r="F313" s="21">
        <f>Source!AO149</f>
        <v>118.55</v>
      </c>
      <c r="G313" s="20" t="str">
        <f>Source!DG149</f>
        <v>)*2</v>
      </c>
      <c r="H313" s="8">
        <f>Source!AV149</f>
        <v>1</v>
      </c>
      <c r="I313" s="8">
        <f>IF(Source!BA149&lt;&gt; 0, Source!BA149, 1)</f>
        <v>1</v>
      </c>
      <c r="J313" s="21">
        <f>Source!S149</f>
        <v>8322.2099999999991</v>
      </c>
      <c r="K313" s="21"/>
    </row>
    <row r="314" spans="1:22" ht="14.5" x14ac:dyDescent="0.35">
      <c r="A314" s="18"/>
      <c r="B314" s="18"/>
      <c r="C314" s="18" t="s">
        <v>351</v>
      </c>
      <c r="D314" s="19"/>
      <c r="E314" s="8"/>
      <c r="F314" s="21">
        <f>Source!AM149</f>
        <v>19.71</v>
      </c>
      <c r="G314" s="20" t="str">
        <f>Source!DE149</f>
        <v>)*2</v>
      </c>
      <c r="H314" s="8">
        <f>Source!AV149</f>
        <v>1</v>
      </c>
      <c r="I314" s="8">
        <f>IF(Source!BB149&lt;&gt; 0, Source!BB149, 1)</f>
        <v>1</v>
      </c>
      <c r="J314" s="21">
        <f>Source!Q149</f>
        <v>1383.64</v>
      </c>
      <c r="K314" s="21"/>
    </row>
    <row r="315" spans="1:22" ht="14.5" x14ac:dyDescent="0.35">
      <c r="A315" s="18"/>
      <c r="B315" s="18"/>
      <c r="C315" s="18" t="s">
        <v>352</v>
      </c>
      <c r="D315" s="19"/>
      <c r="E315" s="8"/>
      <c r="F315" s="21">
        <f>Source!AN149</f>
        <v>0.04</v>
      </c>
      <c r="G315" s="20" t="str">
        <f>Source!DF149</f>
        <v>)*2</v>
      </c>
      <c r="H315" s="8">
        <f>Source!AV149</f>
        <v>1</v>
      </c>
      <c r="I315" s="8">
        <f>IF(Source!BS149&lt;&gt; 0, Source!BS149, 1)</f>
        <v>1</v>
      </c>
      <c r="J315" s="22">
        <f>Source!R149</f>
        <v>2.81</v>
      </c>
      <c r="K315" s="21"/>
    </row>
    <row r="316" spans="1:22" ht="14.5" x14ac:dyDescent="0.35">
      <c r="A316" s="18"/>
      <c r="B316" s="18"/>
      <c r="C316" s="18" t="s">
        <v>360</v>
      </c>
      <c r="D316" s="19"/>
      <c r="E316" s="8"/>
      <c r="F316" s="21">
        <f>Source!AL149</f>
        <v>0.55000000000000004</v>
      </c>
      <c r="G316" s="20" t="str">
        <f>Source!DD149</f>
        <v>)*2</v>
      </c>
      <c r="H316" s="8">
        <f>Source!AW149</f>
        <v>1</v>
      </c>
      <c r="I316" s="8">
        <f>IF(Source!BC149&lt;&gt; 0, Source!BC149, 1)</f>
        <v>1</v>
      </c>
      <c r="J316" s="21">
        <f>Source!P149</f>
        <v>38.61</v>
      </c>
      <c r="K316" s="21"/>
    </row>
    <row r="317" spans="1:22" ht="56" x14ac:dyDescent="0.35">
      <c r="A317" s="18" t="s">
        <v>247</v>
      </c>
      <c r="B317" s="18" t="str">
        <f>Source!F150</f>
        <v>21.4-4-31</v>
      </c>
      <c r="C317" s="18" t="str">
        <f>Source!G150</f>
        <v>Удобрение - биостимулятор, органическое жидкое, антистрессовое, для некорневой подкормки, типа Текамин Макс (N 7%)</v>
      </c>
      <c r="D317" s="19" t="str">
        <f>Source!H150</f>
        <v>л</v>
      </c>
      <c r="E317" s="8">
        <f>Source!I150</f>
        <v>7.02</v>
      </c>
      <c r="F317" s="21">
        <f>Source!AK150</f>
        <v>947.97</v>
      </c>
      <c r="G317" s="27" t="s">
        <v>366</v>
      </c>
      <c r="H317" s="8">
        <f>Source!AW150</f>
        <v>1</v>
      </c>
      <c r="I317" s="8">
        <f>IF(Source!BC150&lt;&gt; 0, Source!BC150, 1)</f>
        <v>1</v>
      </c>
      <c r="J317" s="21">
        <f>Source!O150</f>
        <v>6654.75</v>
      </c>
      <c r="K317" s="21"/>
      <c r="Q317">
        <f>ROUND((Source!BZ150/100)*ROUND((Source!AF150*Source!AV150)*Source!I150, 2), 2)</f>
        <v>0</v>
      </c>
      <c r="R317">
        <f>Source!X150</f>
        <v>0</v>
      </c>
      <c r="S317">
        <f>ROUND((Source!CA150/100)*ROUND((Source!AF150*Source!AV150)*Source!I150, 2), 2)</f>
        <v>0</v>
      </c>
      <c r="T317">
        <f>Source!Y150</f>
        <v>0</v>
      </c>
      <c r="U317">
        <f>ROUND((175/100)*ROUND((Source!AE150*Source!AV150)*Source!I150, 2), 2)</f>
        <v>0</v>
      </c>
      <c r="V317">
        <f>ROUND((108/100)*ROUND(Source!CS150*Source!I150, 2), 2)</f>
        <v>0</v>
      </c>
    </row>
    <row r="318" spans="1:22" ht="14.5" x14ac:dyDescent="0.35">
      <c r="A318" s="18"/>
      <c r="B318" s="18"/>
      <c r="C318" s="18" t="s">
        <v>356</v>
      </c>
      <c r="D318" s="19" t="s">
        <v>354</v>
      </c>
      <c r="E318" s="8">
        <f>Source!AT149</f>
        <v>70</v>
      </c>
      <c r="F318" s="21"/>
      <c r="G318" s="20"/>
      <c r="H318" s="8"/>
      <c r="I318" s="8"/>
      <c r="J318" s="21">
        <f>SUM(R311:R317)</f>
        <v>5825.55</v>
      </c>
      <c r="K318" s="21"/>
    </row>
    <row r="319" spans="1:22" ht="14.5" x14ac:dyDescent="0.35">
      <c r="A319" s="18"/>
      <c r="B319" s="18"/>
      <c r="C319" s="18" t="s">
        <v>357</v>
      </c>
      <c r="D319" s="19" t="s">
        <v>354</v>
      </c>
      <c r="E319" s="8">
        <f>Source!AU149</f>
        <v>10</v>
      </c>
      <c r="F319" s="21"/>
      <c r="G319" s="20"/>
      <c r="H319" s="8"/>
      <c r="I319" s="8"/>
      <c r="J319" s="21">
        <f>SUM(T311:T318)</f>
        <v>832.22</v>
      </c>
      <c r="K319" s="21"/>
    </row>
    <row r="320" spans="1:22" ht="14.5" x14ac:dyDescent="0.35">
      <c r="A320" s="18"/>
      <c r="B320" s="18"/>
      <c r="C320" s="18" t="s">
        <v>353</v>
      </c>
      <c r="D320" s="19" t="s">
        <v>354</v>
      </c>
      <c r="E320" s="8">
        <f>108</f>
        <v>108</v>
      </c>
      <c r="F320" s="21"/>
      <c r="G320" s="20"/>
      <c r="H320" s="8"/>
      <c r="I320" s="8"/>
      <c r="J320" s="21">
        <f>SUM(V311:V319)</f>
        <v>3.03</v>
      </c>
      <c r="K320" s="21"/>
    </row>
    <row r="321" spans="1:22" ht="14.5" x14ac:dyDescent="0.35">
      <c r="A321" s="18"/>
      <c r="B321" s="18"/>
      <c r="C321" s="18" t="s">
        <v>358</v>
      </c>
      <c r="D321" s="19" t="s">
        <v>359</v>
      </c>
      <c r="E321" s="8">
        <f>Source!AQ149</f>
        <v>0.18</v>
      </c>
      <c r="F321" s="21"/>
      <c r="G321" s="20" t="str">
        <f>Source!DI149</f>
        <v>)*2</v>
      </c>
      <c r="H321" s="8">
        <f>Source!AV149</f>
        <v>1</v>
      </c>
      <c r="I321" s="8"/>
      <c r="J321" s="21"/>
      <c r="K321" s="21">
        <f>Source!U149</f>
        <v>12.635999999999999</v>
      </c>
    </row>
    <row r="322" spans="1:22" ht="14" x14ac:dyDescent="0.3">
      <c r="A322" s="25"/>
      <c r="B322" s="25"/>
      <c r="C322" s="25"/>
      <c r="D322" s="25"/>
      <c r="E322" s="25"/>
      <c r="F322" s="25"/>
      <c r="G322" s="25"/>
      <c r="H322" s="25"/>
      <c r="I322" s="52">
        <f>J313+J314+J316+J318+J319+J320+SUM(J317:J317)</f>
        <v>23060.01</v>
      </c>
      <c r="J322" s="52"/>
      <c r="K322" s="26">
        <f>IF(Source!I149&lt;&gt;0, ROUND(I322/Source!I149, 2), 0)</f>
        <v>656.98</v>
      </c>
      <c r="P322" s="23">
        <f>I322</f>
        <v>23060.01</v>
      </c>
    </row>
    <row r="323" spans="1:22" ht="28" x14ac:dyDescent="0.35">
      <c r="A323" s="18">
        <v>38</v>
      </c>
      <c r="B323" s="18" t="str">
        <f>Source!F151</f>
        <v>5.4-3405-7-1/1</v>
      </c>
      <c r="C323" s="18" t="str">
        <f>Source!G151</f>
        <v>Полив зеленых насаждений из шланга поливомоечной машины (40 л на 1 м2)</v>
      </c>
      <c r="D323" s="19" t="str">
        <f>Source!H151</f>
        <v>м3</v>
      </c>
      <c r="E323" s="8">
        <f>Source!I151</f>
        <v>4.7699999999999996</v>
      </c>
      <c r="F323" s="21"/>
      <c r="G323" s="20"/>
      <c r="H323" s="8"/>
      <c r="I323" s="8"/>
      <c r="J323" s="21"/>
      <c r="K323" s="21"/>
      <c r="Q323">
        <f>ROUND((Source!BZ151/100)*ROUND((Source!AF151*Source!AV151)*Source!I151, 2), 2)</f>
        <v>12180.01</v>
      </c>
      <c r="R323">
        <f>Source!X151</f>
        <v>12180.01</v>
      </c>
      <c r="S323">
        <f>ROUND((Source!CA151/100)*ROUND((Source!AF151*Source!AV151)*Source!I151, 2), 2)</f>
        <v>1740</v>
      </c>
      <c r="T323">
        <f>Source!Y151</f>
        <v>1740</v>
      </c>
      <c r="U323">
        <f>ROUND((175/100)*ROUND((Source!AE151*Source!AV151)*Source!I151, 2), 2)</f>
        <v>51831.29</v>
      </c>
      <c r="V323">
        <f>ROUND((108/100)*ROUND(Source!CS151*Source!I151, 2), 2)</f>
        <v>31987.31</v>
      </c>
    </row>
    <row r="324" spans="1:22" ht="14.5" x14ac:dyDescent="0.35">
      <c r="A324" s="18"/>
      <c r="B324" s="18"/>
      <c r="C324" s="18" t="s">
        <v>355</v>
      </c>
      <c r="D324" s="19"/>
      <c r="E324" s="8"/>
      <c r="F324" s="21">
        <f>Source!AO151</f>
        <v>182.39</v>
      </c>
      <c r="G324" s="20" t="str">
        <f>Source!DG151</f>
        <v>)*20</v>
      </c>
      <c r="H324" s="8">
        <f>Source!AV151</f>
        <v>1</v>
      </c>
      <c r="I324" s="8">
        <f>IF(Source!BA151&lt;&gt; 0, Source!BA151, 1)</f>
        <v>1</v>
      </c>
      <c r="J324" s="21">
        <f>Source!S151</f>
        <v>17400.009999999998</v>
      </c>
      <c r="K324" s="21"/>
    </row>
    <row r="325" spans="1:22" ht="14.5" x14ac:dyDescent="0.35">
      <c r="A325" s="18"/>
      <c r="B325" s="18"/>
      <c r="C325" s="18" t="s">
        <v>351</v>
      </c>
      <c r="D325" s="19"/>
      <c r="E325" s="8"/>
      <c r="F325" s="21">
        <f>Source!AM151</f>
        <v>899.27</v>
      </c>
      <c r="G325" s="20" t="str">
        <f>Source!DE151</f>
        <v>)*20</v>
      </c>
      <c r="H325" s="8">
        <f>Source!AV151</f>
        <v>1</v>
      </c>
      <c r="I325" s="8">
        <f>IF(Source!BB151&lt;&gt; 0, Source!BB151, 1)</f>
        <v>1</v>
      </c>
      <c r="J325" s="21">
        <f>Source!Q151</f>
        <v>85790.36</v>
      </c>
      <c r="K325" s="21"/>
    </row>
    <row r="326" spans="1:22" ht="14.5" x14ac:dyDescent="0.35">
      <c r="A326" s="18"/>
      <c r="B326" s="18"/>
      <c r="C326" s="18" t="s">
        <v>352</v>
      </c>
      <c r="D326" s="19"/>
      <c r="E326" s="8"/>
      <c r="F326" s="21">
        <f>Source!AN151</f>
        <v>310.45999999999998</v>
      </c>
      <c r="G326" s="20" t="str">
        <f>Source!DF151</f>
        <v>)*20</v>
      </c>
      <c r="H326" s="8">
        <f>Source!AV151</f>
        <v>1</v>
      </c>
      <c r="I326" s="8">
        <f>IF(Source!BS151&lt;&gt; 0, Source!BS151, 1)</f>
        <v>1</v>
      </c>
      <c r="J326" s="22">
        <f>Source!R151</f>
        <v>29617.88</v>
      </c>
      <c r="K326" s="21"/>
    </row>
    <row r="327" spans="1:22" ht="14.5" x14ac:dyDescent="0.35">
      <c r="A327" s="18"/>
      <c r="B327" s="18"/>
      <c r="C327" s="18" t="s">
        <v>360</v>
      </c>
      <c r="D327" s="19"/>
      <c r="E327" s="8"/>
      <c r="F327" s="21">
        <f>Source!AL151</f>
        <v>54.81</v>
      </c>
      <c r="G327" s="20" t="str">
        <f>Source!DD151</f>
        <v>)*20</v>
      </c>
      <c r="H327" s="8">
        <f>Source!AW151</f>
        <v>1</v>
      </c>
      <c r="I327" s="8">
        <f>IF(Source!BC151&lt;&gt; 0, Source!BC151, 1)</f>
        <v>1</v>
      </c>
      <c r="J327" s="21">
        <f>Source!P151</f>
        <v>5228.87</v>
      </c>
      <c r="K327" s="21"/>
    </row>
    <row r="328" spans="1:22" ht="14.5" x14ac:dyDescent="0.35">
      <c r="A328" s="18" t="s">
        <v>254</v>
      </c>
      <c r="B328" s="18" t="str">
        <f>Source!F152</f>
        <v>21.1-25-13</v>
      </c>
      <c r="C328" s="18" t="str">
        <f>Source!G152</f>
        <v>Вода</v>
      </c>
      <c r="D328" s="19" t="str">
        <f>Source!H152</f>
        <v>м3</v>
      </c>
      <c r="E328" s="8">
        <f>Source!I152</f>
        <v>-95.4</v>
      </c>
      <c r="F328" s="21">
        <f>Source!AK152</f>
        <v>54.81</v>
      </c>
      <c r="G328" s="27" t="s">
        <v>365</v>
      </c>
      <c r="H328" s="8">
        <f>Source!AW152</f>
        <v>1</v>
      </c>
      <c r="I328" s="8">
        <f>IF(Source!BC152&lt;&gt; 0, Source!BC152, 1)</f>
        <v>1</v>
      </c>
      <c r="J328" s="21">
        <f>Source!O152</f>
        <v>-5228.87</v>
      </c>
      <c r="K328" s="21"/>
      <c r="Q328">
        <f>ROUND((Source!BZ152/100)*ROUND((Source!AF152*Source!AV152)*Source!I152, 2), 2)</f>
        <v>0</v>
      </c>
      <c r="R328">
        <f>Source!X152</f>
        <v>0</v>
      </c>
      <c r="S328">
        <f>ROUND((Source!CA152/100)*ROUND((Source!AF152*Source!AV152)*Source!I152, 2), 2)</f>
        <v>0</v>
      </c>
      <c r="T328">
        <f>Source!Y152</f>
        <v>0</v>
      </c>
      <c r="U328">
        <f>ROUND((175/100)*ROUND((Source!AE152*Source!AV152)*Source!I152, 2), 2)</f>
        <v>0</v>
      </c>
      <c r="V328">
        <f>ROUND((108/100)*ROUND(Source!CS152*Source!I152, 2), 2)</f>
        <v>0</v>
      </c>
    </row>
    <row r="329" spans="1:22" ht="14.5" x14ac:dyDescent="0.35">
      <c r="A329" s="18"/>
      <c r="B329" s="18"/>
      <c r="C329" s="18" t="s">
        <v>356</v>
      </c>
      <c r="D329" s="19" t="s">
        <v>354</v>
      </c>
      <c r="E329" s="8">
        <f>Source!AT151</f>
        <v>70</v>
      </c>
      <c r="F329" s="21"/>
      <c r="G329" s="20"/>
      <c r="H329" s="8"/>
      <c r="I329" s="8"/>
      <c r="J329" s="21">
        <f>SUM(R323:R328)</f>
        <v>12180.01</v>
      </c>
      <c r="K329" s="21"/>
    </row>
    <row r="330" spans="1:22" ht="14.5" x14ac:dyDescent="0.35">
      <c r="A330" s="18"/>
      <c r="B330" s="18"/>
      <c r="C330" s="18" t="s">
        <v>357</v>
      </c>
      <c r="D330" s="19" t="s">
        <v>354</v>
      </c>
      <c r="E330" s="8">
        <f>Source!AU151</f>
        <v>10</v>
      </c>
      <c r="F330" s="21"/>
      <c r="G330" s="20"/>
      <c r="H330" s="8"/>
      <c r="I330" s="8"/>
      <c r="J330" s="21">
        <f>SUM(T323:T329)</f>
        <v>1740</v>
      </c>
      <c r="K330" s="21"/>
    </row>
    <row r="331" spans="1:22" ht="14.5" x14ac:dyDescent="0.35">
      <c r="A331" s="18"/>
      <c r="B331" s="18"/>
      <c r="C331" s="18" t="s">
        <v>353</v>
      </c>
      <c r="D331" s="19" t="s">
        <v>354</v>
      </c>
      <c r="E331" s="8">
        <f>108</f>
        <v>108</v>
      </c>
      <c r="F331" s="21"/>
      <c r="G331" s="20"/>
      <c r="H331" s="8"/>
      <c r="I331" s="8"/>
      <c r="J331" s="21">
        <f>SUM(V323:V330)</f>
        <v>31987.31</v>
      </c>
      <c r="K331" s="21"/>
    </row>
    <row r="332" spans="1:22" ht="14.5" x14ac:dyDescent="0.35">
      <c r="A332" s="18"/>
      <c r="B332" s="18"/>
      <c r="C332" s="18" t="s">
        <v>358</v>
      </c>
      <c r="D332" s="19" t="s">
        <v>359</v>
      </c>
      <c r="E332" s="8">
        <f>Source!AQ151</f>
        <v>0.56000000000000005</v>
      </c>
      <c r="F332" s="21"/>
      <c r="G332" s="20" t="str">
        <f>Source!DI151</f>
        <v>)*20</v>
      </c>
      <c r="H332" s="8">
        <f>Source!AV151</f>
        <v>1</v>
      </c>
      <c r="I332" s="8"/>
      <c r="J332" s="21"/>
      <c r="K332" s="21">
        <f>Source!U151</f>
        <v>53.423999999999999</v>
      </c>
    </row>
    <row r="333" spans="1:22" ht="14" x14ac:dyDescent="0.3">
      <c r="A333" s="25"/>
      <c r="B333" s="25"/>
      <c r="C333" s="25"/>
      <c r="D333" s="25"/>
      <c r="E333" s="25"/>
      <c r="F333" s="25"/>
      <c r="G333" s="25"/>
      <c r="H333" s="25"/>
      <c r="I333" s="52">
        <f>J324+J325+J327+J329+J330+J331+SUM(J328:J328)</f>
        <v>149097.69</v>
      </c>
      <c r="J333" s="52"/>
      <c r="K333" s="26">
        <f>IF(Source!I151&lt;&gt;0, ROUND(I333/Source!I151, 2), 0)</f>
        <v>31257.38</v>
      </c>
      <c r="P333" s="23">
        <f>I333</f>
        <v>149097.69</v>
      </c>
    </row>
    <row r="335" spans="1:22" ht="14" x14ac:dyDescent="0.3">
      <c r="A335" s="55" t="str">
        <f>CONCATENATE("Итого по подразделу: ",IF(Source!G154&lt;&gt;"Новый подраздел", Source!G154, ""))</f>
        <v xml:space="preserve">Итого по подразделу: Подраздел: УХОД ЗА ЗЕЛЕНЫМИ НАСАЖДЕНИЯМИ </v>
      </c>
      <c r="B335" s="55"/>
      <c r="C335" s="55"/>
      <c r="D335" s="55"/>
      <c r="E335" s="55"/>
      <c r="F335" s="55"/>
      <c r="G335" s="55"/>
      <c r="H335" s="55"/>
      <c r="I335" s="53">
        <f>SUM(P218:P334)</f>
        <v>11607418.210000001</v>
      </c>
      <c r="J335" s="54"/>
      <c r="K335" s="29"/>
    </row>
    <row r="338" spans="1:11" ht="14" x14ac:dyDescent="0.3">
      <c r="A338" s="55" t="str">
        <f>CONCATENATE("Итого по разделу: ",IF(Source!G184&lt;&gt;"Новый раздел", Source!G184, ""))</f>
        <v>Итого по разделу: Раздел: Основная зона</v>
      </c>
      <c r="B338" s="55"/>
      <c r="C338" s="55"/>
      <c r="D338" s="55"/>
      <c r="E338" s="55"/>
      <c r="F338" s="55"/>
      <c r="G338" s="55"/>
      <c r="H338" s="55"/>
      <c r="I338" s="53">
        <f>SUM(P35:P337)</f>
        <v>73558008.110000029</v>
      </c>
      <c r="J338" s="54"/>
      <c r="K338" s="29"/>
    </row>
    <row r="341" spans="1:11" ht="14" x14ac:dyDescent="0.3">
      <c r="A341" s="55" t="str">
        <f>CONCATENATE("Итого по локальной смете: ",IF(Source!G214&lt;&gt;"Новая локальная смета", Source!G214, ""))</f>
        <v>Итого по локальной смете: Локальная смета: Зона №2</v>
      </c>
      <c r="B341" s="55"/>
      <c r="C341" s="55"/>
      <c r="D341" s="55"/>
      <c r="E341" s="55"/>
      <c r="F341" s="55"/>
      <c r="G341" s="55"/>
      <c r="H341" s="55"/>
      <c r="I341" s="53">
        <f>SUM(P33:P340)</f>
        <v>73558008.110000029</v>
      </c>
      <c r="J341" s="54"/>
      <c r="K341" s="29"/>
    </row>
    <row r="343" spans="1:11" ht="14" x14ac:dyDescent="0.3">
      <c r="C343" s="38" t="str">
        <f>Source!H243</f>
        <v>НДС 22%</v>
      </c>
      <c r="D343" s="38"/>
      <c r="E343" s="38"/>
      <c r="F343" s="38"/>
      <c r="G343" s="38"/>
      <c r="H343" s="38"/>
      <c r="I343" s="46">
        <f>IF(Source!F243=0, "", Source!F243)</f>
        <v>16182761.779999999</v>
      </c>
      <c r="J343" s="46"/>
    </row>
    <row r="344" spans="1:11" ht="14" x14ac:dyDescent="0.3">
      <c r="C344" s="38" t="str">
        <f>Source!H244</f>
        <v>Итого с НДС</v>
      </c>
      <c r="D344" s="38"/>
      <c r="E344" s="38"/>
      <c r="F344" s="38"/>
      <c r="G344" s="38"/>
      <c r="H344" s="38"/>
      <c r="I344" s="46">
        <f>IF(Source!F244=0, "", Source!F244)</f>
        <v>88269609.730000004</v>
      </c>
      <c r="J344" s="46"/>
    </row>
    <row r="346" spans="1:11" ht="14" x14ac:dyDescent="0.3">
      <c r="A346" s="55" t="str">
        <f>CONCATENATE("Итого по смете: ",IF(Source!G246&lt;&gt;"Новый объект", Source!G246, ""))</f>
        <v>Итого по смете: Зона 2</v>
      </c>
      <c r="B346" s="55"/>
      <c r="C346" s="55"/>
      <c r="D346" s="55"/>
      <c r="E346" s="55"/>
      <c r="F346" s="55"/>
      <c r="G346" s="55"/>
      <c r="H346" s="55"/>
      <c r="I346" s="53">
        <f>SUM(P1:P345)</f>
        <v>73558008.110000029</v>
      </c>
      <c r="J346" s="54"/>
      <c r="K346" s="29"/>
    </row>
    <row r="347" spans="1:11" ht="14" x14ac:dyDescent="0.3">
      <c r="C347" s="38" t="str">
        <f>Source!H275</f>
        <v>Итого</v>
      </c>
      <c r="D347" s="38"/>
      <c r="E347" s="38"/>
      <c r="F347" s="38"/>
      <c r="G347" s="38"/>
      <c r="H347" s="38"/>
      <c r="I347" s="46">
        <f>IF(Source!F275=0, "", Source!F275)</f>
        <v>73558008.109999999</v>
      </c>
      <c r="J347" s="46"/>
    </row>
    <row r="348" spans="1:11" ht="14" x14ac:dyDescent="0.3">
      <c r="C348" s="38" t="str">
        <f>Source!H276</f>
        <v>НДС 22%</v>
      </c>
      <c r="D348" s="38"/>
      <c r="E348" s="38"/>
      <c r="F348" s="38"/>
      <c r="G348" s="38"/>
      <c r="H348" s="38"/>
      <c r="I348" s="46">
        <f>IF(Source!F276=0, "", Source!F276)</f>
        <v>16182761.779999999</v>
      </c>
      <c r="J348" s="46"/>
    </row>
    <row r="349" spans="1:11" ht="14" x14ac:dyDescent="0.3">
      <c r="C349" s="38" t="str">
        <f>Source!H277</f>
        <v>Всего</v>
      </c>
      <c r="D349" s="38"/>
      <c r="E349" s="38"/>
      <c r="F349" s="38"/>
      <c r="G349" s="38"/>
      <c r="H349" s="38"/>
      <c r="I349" s="46">
        <f>IF(Source!F277=0, "", Source!F277)</f>
        <v>89740769.890000001</v>
      </c>
      <c r="J349" s="46"/>
    </row>
    <row r="352" spans="1:11" ht="14" x14ac:dyDescent="0.3">
      <c r="A352" s="56" t="s">
        <v>367</v>
      </c>
      <c r="B352" s="56"/>
      <c r="C352" s="31" t="str">
        <f>IF(Source!AC12&lt;&gt;"", Source!AC12," ")</f>
        <v xml:space="preserve"> </v>
      </c>
      <c r="D352" s="31"/>
      <c r="E352" s="31"/>
      <c r="F352" s="31"/>
      <c r="G352" s="31"/>
      <c r="H352" s="9" t="str">
        <f>IF(Source!AB12&lt;&gt;"", Source!AB12," ")</f>
        <v xml:space="preserve"> </v>
      </c>
      <c r="I352" s="9"/>
      <c r="J352" s="9"/>
      <c r="K352" s="9"/>
    </row>
    <row r="353" spans="1:11" ht="14" x14ac:dyDescent="0.3">
      <c r="A353" s="9"/>
      <c r="B353" s="9"/>
      <c r="C353" s="41" t="s">
        <v>368</v>
      </c>
      <c r="D353" s="41"/>
      <c r="E353" s="41"/>
      <c r="F353" s="41"/>
      <c r="G353" s="41"/>
      <c r="H353" s="9"/>
      <c r="I353" s="9"/>
      <c r="J353" s="9"/>
      <c r="K353" s="9"/>
    </row>
    <row r="354" spans="1:11" ht="14" x14ac:dyDescent="0.3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</row>
    <row r="355" spans="1:11" ht="14" x14ac:dyDescent="0.3">
      <c r="A355" s="56" t="s">
        <v>369</v>
      </c>
      <c r="B355" s="56"/>
      <c r="C355" s="31" t="str">
        <f>IF(Source!AE12&lt;&gt;"", Source!AE12," ")</f>
        <v xml:space="preserve"> </v>
      </c>
      <c r="D355" s="31"/>
      <c r="E355" s="31"/>
      <c r="F355" s="31"/>
      <c r="G355" s="31"/>
      <c r="H355" s="9" t="str">
        <f>IF(Source!AD12&lt;&gt;"", Source!AD12," ")</f>
        <v xml:space="preserve"> </v>
      </c>
      <c r="I355" s="9"/>
      <c r="J355" s="9"/>
      <c r="K355" s="9"/>
    </row>
    <row r="356" spans="1:11" ht="14" x14ac:dyDescent="0.3">
      <c r="A356" s="9"/>
      <c r="B356" s="9"/>
      <c r="C356" s="41" t="s">
        <v>368</v>
      </c>
      <c r="D356" s="41"/>
      <c r="E356" s="41"/>
      <c r="F356" s="41"/>
      <c r="G356" s="41"/>
      <c r="H356" s="9"/>
      <c r="I356" s="9"/>
      <c r="J356" s="9"/>
      <c r="K356" s="9"/>
    </row>
  </sheetData>
  <mergeCells count="107">
    <mergeCell ref="C349:H349"/>
    <mergeCell ref="I349:J349"/>
    <mergeCell ref="A352:B352"/>
    <mergeCell ref="C353:G353"/>
    <mergeCell ref="A355:B355"/>
    <mergeCell ref="C356:G356"/>
    <mergeCell ref="I346:J346"/>
    <mergeCell ref="A346:H346"/>
    <mergeCell ref="C347:H347"/>
    <mergeCell ref="I347:J347"/>
    <mergeCell ref="C348:H348"/>
    <mergeCell ref="I348:J348"/>
    <mergeCell ref="I341:J341"/>
    <mergeCell ref="A341:H341"/>
    <mergeCell ref="C343:H343"/>
    <mergeCell ref="I343:J343"/>
    <mergeCell ref="C344:H344"/>
    <mergeCell ref="I344:J344"/>
    <mergeCell ref="I310:J310"/>
    <mergeCell ref="I322:J322"/>
    <mergeCell ref="I333:J333"/>
    <mergeCell ref="I335:J335"/>
    <mergeCell ref="A335:H335"/>
    <mergeCell ref="I338:J338"/>
    <mergeCell ref="A338:H338"/>
    <mergeCell ref="I261:J261"/>
    <mergeCell ref="I269:J269"/>
    <mergeCell ref="I275:J275"/>
    <mergeCell ref="I286:J286"/>
    <mergeCell ref="I297:J297"/>
    <mergeCell ref="I303:J303"/>
    <mergeCell ref="A215:H215"/>
    <mergeCell ref="A218:K218"/>
    <mergeCell ref="I228:J228"/>
    <mergeCell ref="I235:J235"/>
    <mergeCell ref="I245:J245"/>
    <mergeCell ref="I252:J252"/>
    <mergeCell ref="I182:J182"/>
    <mergeCell ref="I189:J189"/>
    <mergeCell ref="I196:J196"/>
    <mergeCell ref="I202:J202"/>
    <mergeCell ref="I213:J213"/>
    <mergeCell ref="I215:J215"/>
    <mergeCell ref="A141:K141"/>
    <mergeCell ref="I148:J148"/>
    <mergeCell ref="I154:J154"/>
    <mergeCell ref="I161:J161"/>
    <mergeCell ref="I168:J168"/>
    <mergeCell ref="I175:J175"/>
    <mergeCell ref="I117:J117"/>
    <mergeCell ref="I124:J124"/>
    <mergeCell ref="I130:J130"/>
    <mergeCell ref="I136:J136"/>
    <mergeCell ref="I138:J138"/>
    <mergeCell ref="A138:H138"/>
    <mergeCell ref="I74:J74"/>
    <mergeCell ref="I81:J81"/>
    <mergeCell ref="I91:J91"/>
    <mergeCell ref="I97:J97"/>
    <mergeCell ref="I106:J106"/>
    <mergeCell ref="I111:J111"/>
    <mergeCell ref="A37:K37"/>
    <mergeCell ref="I42:J42"/>
    <mergeCell ref="I48:J48"/>
    <mergeCell ref="I55:J55"/>
    <mergeCell ref="I61:J61"/>
    <mergeCell ref="I68:J68"/>
    <mergeCell ref="G28:G30"/>
    <mergeCell ref="H28:H30"/>
    <mergeCell ref="I28:I30"/>
    <mergeCell ref="J28:J30"/>
    <mergeCell ref="A33:K33"/>
    <mergeCell ref="A35:K35"/>
    <mergeCell ref="F25:H25"/>
    <mergeCell ref="I25:J25"/>
    <mergeCell ref="F26:H26"/>
    <mergeCell ref="I26:J26"/>
    <mergeCell ref="A28:A30"/>
    <mergeCell ref="B28:B30"/>
    <mergeCell ref="C28:C30"/>
    <mergeCell ref="D28:D30"/>
    <mergeCell ref="E28:E30"/>
    <mergeCell ref="F28:F30"/>
    <mergeCell ref="F22:H22"/>
    <mergeCell ref="I22:J22"/>
    <mergeCell ref="F23:H23"/>
    <mergeCell ref="I23:J23"/>
    <mergeCell ref="F24:H24"/>
    <mergeCell ref="I24:J24"/>
    <mergeCell ref="A14:K14"/>
    <mergeCell ref="A16:K16"/>
    <mergeCell ref="A17:K17"/>
    <mergeCell ref="A19:K19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</mergeCells>
  <pageMargins left="0.4" right="0.2" top="0.2" bottom="0.4" header="0.2" footer="0.2"/>
  <pageSetup paperSize="9" scale="61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87B1D-B7DD-4DBF-B68E-2724137BC22D}">
  <sheetPr>
    <pageSetUpPr fitToPage="1"/>
  </sheetPr>
  <dimension ref="A1:F73"/>
  <sheetViews>
    <sheetView zoomScaleNormal="100" workbookViewId="0"/>
  </sheetViews>
  <sheetFormatPr defaultRowHeight="12.5" x14ac:dyDescent="0.25"/>
  <cols>
    <col min="1" max="2" width="6.6328125" customWidth="1"/>
    <col min="3" max="3" width="75.6328125" customWidth="1"/>
    <col min="4" max="6" width="15.6328125" customWidth="1"/>
    <col min="30" max="32" width="0" hidden="1" customWidth="1"/>
  </cols>
  <sheetData>
    <row r="1" spans="1:6" x14ac:dyDescent="0.25">
      <c r="A1" s="7" t="str">
        <f>Source!B1</f>
        <v>Smeta.RU Flash  (495) 974-1589</v>
      </c>
    </row>
    <row r="2" spans="1:6" ht="14" x14ac:dyDescent="0.3">
      <c r="D2" s="9"/>
      <c r="E2" s="9"/>
    </row>
    <row r="3" spans="1:6" ht="14" x14ac:dyDescent="0.3">
      <c r="D3" s="9"/>
      <c r="E3" s="24" t="s">
        <v>324</v>
      </c>
    </row>
    <row r="4" spans="1:6" ht="14" x14ac:dyDescent="0.3">
      <c r="D4" s="24"/>
      <c r="E4" s="24"/>
    </row>
    <row r="5" spans="1:6" ht="14" x14ac:dyDescent="0.3">
      <c r="D5" s="54" t="s">
        <v>370</v>
      </c>
      <c r="E5" s="54"/>
    </row>
    <row r="6" spans="1:6" ht="14" x14ac:dyDescent="0.3">
      <c r="D6" s="24"/>
      <c r="E6" s="24"/>
    </row>
    <row r="7" spans="1:6" ht="14" x14ac:dyDescent="0.3">
      <c r="D7" s="54" t="s">
        <v>370</v>
      </c>
      <c r="E7" s="54"/>
    </row>
    <row r="8" spans="1:6" ht="14" x14ac:dyDescent="0.3">
      <c r="D8" s="24"/>
      <c r="E8" s="24"/>
    </row>
    <row r="9" spans="1:6" ht="14" x14ac:dyDescent="0.3">
      <c r="D9" s="24" t="s">
        <v>371</v>
      </c>
      <c r="E9" s="9"/>
    </row>
    <row r="10" spans="1:6" ht="14" x14ac:dyDescent="0.3">
      <c r="D10" s="9"/>
      <c r="E10" s="9"/>
    </row>
    <row r="12" spans="1:6" ht="15.5" x14ac:dyDescent="0.25">
      <c r="B12" s="58" t="str">
        <f>CONCATENATE("Ведомость объемов работ ", IF(Source!AN15&lt;&gt;"", Source!AN15," "))</f>
        <v xml:space="preserve">Ведомость объемов работ  </v>
      </c>
      <c r="C12" s="58"/>
      <c r="D12" s="58"/>
      <c r="E12" s="58"/>
    </row>
    <row r="13" spans="1:6" ht="14" x14ac:dyDescent="0.25">
      <c r="B13" s="59" t="str">
        <f>Source!G12</f>
        <v>Зона 2</v>
      </c>
      <c r="C13" s="59"/>
      <c r="D13" s="59"/>
      <c r="E13" s="59"/>
    </row>
    <row r="14" spans="1:6" ht="14" x14ac:dyDescent="0.25">
      <c r="B14" s="59" t="str">
        <f>Source!G20</f>
        <v>Локальная смета: Зона №2</v>
      </c>
      <c r="C14" s="59"/>
      <c r="D14" s="59"/>
      <c r="E14" s="59"/>
    </row>
    <row r="16" spans="1:6" ht="28" x14ac:dyDescent="0.25">
      <c r="A16" s="32" t="s">
        <v>372</v>
      </c>
      <c r="B16" s="32" t="s">
        <v>373</v>
      </c>
      <c r="C16" s="32" t="s">
        <v>339</v>
      </c>
      <c r="D16" s="32" t="s">
        <v>340</v>
      </c>
      <c r="E16" s="32" t="s">
        <v>374</v>
      </c>
      <c r="F16" s="32" t="s">
        <v>375</v>
      </c>
    </row>
    <row r="17" spans="1:6" ht="14" x14ac:dyDescent="0.25">
      <c r="A17" s="32">
        <v>1</v>
      </c>
      <c r="B17" s="32">
        <v>2</v>
      </c>
      <c r="C17" s="32">
        <v>3</v>
      </c>
      <c r="D17" s="32">
        <v>4</v>
      </c>
      <c r="E17" s="32">
        <v>5</v>
      </c>
      <c r="F17" s="32">
        <v>6</v>
      </c>
    </row>
    <row r="18" spans="1:6" ht="16.5" x14ac:dyDescent="0.35">
      <c r="A18" s="57" t="str">
        <f>CONCATENATE("Раздел: ", Source!G24)</f>
        <v>Раздел: Раздел: Основная зона</v>
      </c>
      <c r="B18" s="57"/>
      <c r="C18" s="57"/>
      <c r="D18" s="57"/>
      <c r="E18" s="57"/>
      <c r="F18" s="57"/>
    </row>
    <row r="19" spans="1:6" ht="16.5" x14ac:dyDescent="0.35">
      <c r="A19" s="57" t="str">
        <f>CONCATENATE("Подраздел: ", Source!G28)</f>
        <v>Подраздел: Подраздел: ЗИМНЯЯ УБОРКА</v>
      </c>
      <c r="B19" s="57"/>
      <c r="C19" s="57"/>
      <c r="D19" s="57"/>
      <c r="E19" s="57"/>
      <c r="F19" s="57"/>
    </row>
    <row r="20" spans="1:6" ht="14" x14ac:dyDescent="0.25">
      <c r="A20" s="32">
        <v>1</v>
      </c>
      <c r="B20" s="32" t="str">
        <f>Source!E32</f>
        <v>1</v>
      </c>
      <c r="C20" s="35" t="str">
        <f>Source!G32</f>
        <v>Уборка снега средствами малой механизации</v>
      </c>
      <c r="D20" s="32" t="s">
        <v>20</v>
      </c>
      <c r="E20" s="36">
        <f>Source!I32</f>
        <v>65.464799999999997</v>
      </c>
      <c r="F20" s="35"/>
    </row>
    <row r="21" spans="1:6" ht="14" x14ac:dyDescent="0.25">
      <c r="A21" s="32">
        <v>2</v>
      </c>
      <c r="B21" s="32" t="str">
        <f>Source!E33</f>
        <v>2</v>
      </c>
      <c r="C21" s="35" t="str">
        <f>Source!G33</f>
        <v>Уборка свежевыпавшего снега вручную толщиной слоя до 10 см</v>
      </c>
      <c r="D21" s="32" t="s">
        <v>29</v>
      </c>
      <c r="E21" s="36">
        <f>Source!I33</f>
        <v>163.66200000000001</v>
      </c>
      <c r="F21" s="35"/>
    </row>
    <row r="22" spans="1:6" ht="28" x14ac:dyDescent="0.25">
      <c r="A22" s="32">
        <v>3</v>
      </c>
      <c r="B22" s="32" t="str">
        <f>Source!E34</f>
        <v>3</v>
      </c>
      <c r="C22" s="35" t="str">
        <f>Source!G34</f>
        <v>Подметание тротуаров, придомовых и внутрибольничных проездов средствами малой механизации</v>
      </c>
      <c r="D22" s="32" t="s">
        <v>20</v>
      </c>
      <c r="E22" s="36">
        <f>Source!I34</f>
        <v>65.464799999999997</v>
      </c>
      <c r="F22" s="35"/>
    </row>
    <row r="23" spans="1:6" ht="14" x14ac:dyDescent="0.25">
      <c r="A23" s="32">
        <v>3.1</v>
      </c>
      <c r="B23" s="32" t="str">
        <f>Source!E35</f>
        <v>3,1</v>
      </c>
      <c r="C23" s="35" t="str">
        <f>Source!G35</f>
        <v>Вода</v>
      </c>
      <c r="D23" s="32" t="s">
        <v>39</v>
      </c>
      <c r="E23" s="36">
        <f>Source!I35</f>
        <v>-1453.3185599999999</v>
      </c>
      <c r="F23" s="35"/>
    </row>
    <row r="24" spans="1:6" ht="14" x14ac:dyDescent="0.25">
      <c r="A24" s="32">
        <v>4</v>
      </c>
      <c r="B24" s="32" t="str">
        <f>Source!E36</f>
        <v>4</v>
      </c>
      <c r="C24" s="35" t="str">
        <f>Source!G36</f>
        <v>Подметание вручную дорожек и площадок с твердым покрытием</v>
      </c>
      <c r="D24" s="32" t="s">
        <v>29</v>
      </c>
      <c r="E24" s="36">
        <f>Source!I36</f>
        <v>163.66200000000001</v>
      </c>
      <c r="F24" s="35"/>
    </row>
    <row r="25" spans="1:6" ht="28" x14ac:dyDescent="0.25">
      <c r="A25" s="32">
        <v>5</v>
      </c>
      <c r="B25" s="32" t="str">
        <f>Source!E37</f>
        <v>5</v>
      </c>
      <c r="C25" s="35" t="str">
        <f>Source!G37</f>
        <v>Подметание вручную дорожек и площадок с грунтовым и щебеночным покрытием</v>
      </c>
      <c r="D25" s="32" t="s">
        <v>29</v>
      </c>
      <c r="E25" s="36">
        <f>Source!I37</f>
        <v>0.94550000000000001</v>
      </c>
      <c r="F25" s="35"/>
    </row>
    <row r="26" spans="1:6" ht="28" x14ac:dyDescent="0.25">
      <c r="A26" s="32">
        <v>6</v>
      </c>
      <c r="B26" s="32" t="str">
        <f>Source!E38</f>
        <v>6</v>
      </c>
      <c r="C26" s="35" t="str">
        <f>Source!G38</f>
        <v>Уборка детских и спортивных площадок с резиновым покрытием от снега - свежевыпавшего толщиной до 5 см</v>
      </c>
      <c r="D26" s="32" t="s">
        <v>29</v>
      </c>
      <c r="E26" s="36">
        <f>Source!I38</f>
        <v>7.16</v>
      </c>
      <c r="F26" s="35"/>
    </row>
    <row r="27" spans="1:6" ht="28" x14ac:dyDescent="0.25">
      <c r="A27" s="32">
        <v>7</v>
      </c>
      <c r="B27" s="32" t="str">
        <f>Source!E39</f>
        <v>7</v>
      </c>
      <c r="C27" s="35" t="str">
        <f>Source!G39</f>
        <v>Посыпка противогололедными реагентами ХКНтв дорожных покрытий вручную</v>
      </c>
      <c r="D27" s="32" t="s">
        <v>29</v>
      </c>
      <c r="E27" s="36">
        <f>Source!I39</f>
        <v>163.66200000000001</v>
      </c>
      <c r="F27" s="35"/>
    </row>
    <row r="28" spans="1:6" ht="28" x14ac:dyDescent="0.25">
      <c r="A28" s="32">
        <v>8</v>
      </c>
      <c r="B28" s="32" t="str">
        <f>Source!E40</f>
        <v>8</v>
      </c>
      <c r="C28" s="35" t="str">
        <f>Source!G40</f>
        <v>Посыпка противогололедными реагентами дорожных покрытий средствами малой механизации</v>
      </c>
      <c r="D28" s="32" t="s">
        <v>20</v>
      </c>
      <c r="E28" s="36">
        <f>Source!I40</f>
        <v>65.464799999999997</v>
      </c>
      <c r="F28" s="35"/>
    </row>
    <row r="29" spans="1:6" ht="14" x14ac:dyDescent="0.25">
      <c r="A29" s="32">
        <v>9</v>
      </c>
      <c r="B29" s="32" t="str">
        <f>Source!E41</f>
        <v>9</v>
      </c>
      <c r="C29" s="35" t="str">
        <f>Source!G41</f>
        <v>Колка льда на обледеневших покрытиях вручную</v>
      </c>
      <c r="D29" s="32" t="s">
        <v>29</v>
      </c>
      <c r="E29" s="36">
        <f>Source!I41</f>
        <v>8.1830999999999996</v>
      </c>
      <c r="F29" s="35"/>
    </row>
    <row r="30" spans="1:6" ht="42" x14ac:dyDescent="0.25">
      <c r="A30" s="32">
        <v>10</v>
      </c>
      <c r="B30" s="32" t="str">
        <f>Source!E42</f>
        <v>10</v>
      </c>
      <c r="C30" s="35" t="str">
        <f>Source!G42</f>
        <v>Сбор и перемещение снега и скола к месту временного размещения механизированным способом, объем ковша погрузчика до 0,5 м3 - перемещение на 250 м</v>
      </c>
      <c r="D30" s="32" t="s">
        <v>39</v>
      </c>
      <c r="E30" s="36">
        <f>Source!I42</f>
        <v>14729.58</v>
      </c>
      <c r="F30" s="35"/>
    </row>
    <row r="31" spans="1:6" ht="14" x14ac:dyDescent="0.25">
      <c r="A31" s="32">
        <v>11</v>
      </c>
      <c r="B31" s="32" t="str">
        <f>Source!E43</f>
        <v>11</v>
      </c>
      <c r="C31" s="35" t="str">
        <f>Source!G43</f>
        <v>Погрузка снега средствами малой механизации</v>
      </c>
      <c r="D31" s="32" t="s">
        <v>39</v>
      </c>
      <c r="E31" s="36">
        <f>Source!I43</f>
        <v>14729.58</v>
      </c>
      <c r="F31" s="35"/>
    </row>
    <row r="32" spans="1:6" ht="28" x14ac:dyDescent="0.25">
      <c r="A32" s="32">
        <v>12</v>
      </c>
      <c r="B32" s="32" t="str">
        <f>Source!E44</f>
        <v>12</v>
      </c>
      <c r="C32" s="35" t="str">
        <f>Source!G44</f>
        <v>Очистка скамеек, садовых диванов, урн, цветочниц, боллардов от снега вручную</v>
      </c>
      <c r="D32" s="32" t="s">
        <v>29</v>
      </c>
      <c r="E32" s="36">
        <f>Source!I44</f>
        <v>0.67079999999999995</v>
      </c>
      <c r="F32" s="35"/>
    </row>
    <row r="33" spans="1:6" ht="28" x14ac:dyDescent="0.25">
      <c r="A33" s="32">
        <v>13</v>
      </c>
      <c r="B33" s="32" t="str">
        <f>Source!E45</f>
        <v>13</v>
      </c>
      <c r="C33" s="35" t="str">
        <f>Source!G45</f>
        <v>Уход за урнами на придомовых и внутрибольничных территориях, очистка урн опрокидывающихся от мусора</v>
      </c>
      <c r="D33" s="32" t="s">
        <v>83</v>
      </c>
      <c r="E33" s="36">
        <f>Source!I45</f>
        <v>0.34</v>
      </c>
      <c r="F33" s="35"/>
    </row>
    <row r="34" spans="1:6" ht="14" x14ac:dyDescent="0.25">
      <c r="A34" s="32">
        <v>14</v>
      </c>
      <c r="B34" s="32" t="str">
        <f>Source!E46</f>
        <v>14</v>
      </c>
      <c r="C34" s="35" t="str">
        <f>Source!G46</f>
        <v>Рыхление смерзшегося снега по краю газона</v>
      </c>
      <c r="D34" s="32" t="s">
        <v>39</v>
      </c>
      <c r="E34" s="36">
        <f>Source!I46</f>
        <v>2537.4299999999998</v>
      </c>
      <c r="F34" s="35"/>
    </row>
    <row r="35" spans="1:6" ht="14" x14ac:dyDescent="0.25">
      <c r="A35" s="32">
        <v>15</v>
      </c>
      <c r="B35" s="32" t="str">
        <f>Source!E47</f>
        <v>15</v>
      </c>
      <c r="C35" s="35" t="str">
        <f>Source!G47</f>
        <v>Очистка от снега и мусора контейнерной площадки вручную</v>
      </c>
      <c r="D35" s="32" t="s">
        <v>29</v>
      </c>
      <c r="E35" s="36">
        <f>Source!I47</f>
        <v>0.3</v>
      </c>
      <c r="F35" s="35"/>
    </row>
    <row r="36" spans="1:6" ht="16.5" x14ac:dyDescent="0.35">
      <c r="A36" s="57" t="str">
        <f>CONCATENATE("Подраздел: ", Source!G79)</f>
        <v>Подраздел: Подраздел: ЛЕТНЯЯ УБОРКА</v>
      </c>
      <c r="B36" s="57"/>
      <c r="C36" s="57"/>
      <c r="D36" s="57"/>
      <c r="E36" s="57"/>
      <c r="F36" s="57"/>
    </row>
    <row r="37" spans="1:6" ht="28" x14ac:dyDescent="0.25">
      <c r="A37" s="32">
        <v>16</v>
      </c>
      <c r="B37" s="32" t="str">
        <f>Source!E83</f>
        <v>16</v>
      </c>
      <c r="C37" s="35" t="str">
        <f>Source!G83</f>
        <v>Подметание тротуаров, придомовых и внутрибольничных проездов средствами малой механизации</v>
      </c>
      <c r="D37" s="32" t="s">
        <v>20</v>
      </c>
      <c r="E37" s="36">
        <f>Source!I83</f>
        <v>65.464799999999997</v>
      </c>
      <c r="F37" s="35"/>
    </row>
    <row r="38" spans="1:6" ht="14" x14ac:dyDescent="0.25">
      <c r="A38" s="32">
        <v>16.100000000000001</v>
      </c>
      <c r="B38" s="32" t="str">
        <f>Source!E84</f>
        <v>16,1</v>
      </c>
      <c r="C38" s="35" t="str">
        <f>Source!G84</f>
        <v>Вода</v>
      </c>
      <c r="D38" s="32" t="s">
        <v>39</v>
      </c>
      <c r="E38" s="36">
        <f>Source!I84</f>
        <v>-2238.8961599999998</v>
      </c>
      <c r="F38" s="35"/>
    </row>
    <row r="39" spans="1:6" ht="14" x14ac:dyDescent="0.25">
      <c r="A39" s="32">
        <v>17</v>
      </c>
      <c r="B39" s="32" t="str">
        <f>Source!E85</f>
        <v>17</v>
      </c>
      <c r="C39" s="35" t="str">
        <f>Source!G85</f>
        <v>Подметание вручную дорожек и площадок с твердым покрытием</v>
      </c>
      <c r="D39" s="32" t="s">
        <v>29</v>
      </c>
      <c r="E39" s="36">
        <f>Source!I85</f>
        <v>163.66200000000001</v>
      </c>
      <c r="F39" s="35"/>
    </row>
    <row r="40" spans="1:6" ht="28" x14ac:dyDescent="0.25">
      <c r="A40" s="32">
        <v>18</v>
      </c>
      <c r="B40" s="32" t="str">
        <f>Source!E86</f>
        <v>18</v>
      </c>
      <c r="C40" s="35" t="str">
        <f>Source!G86</f>
        <v>Подметание вручную дорожек и площадок с грунтовым и щебеночным покрытием</v>
      </c>
      <c r="D40" s="32" t="s">
        <v>29</v>
      </c>
      <c r="E40" s="36">
        <f>Source!I86</f>
        <v>0.94550000000000001</v>
      </c>
      <c r="F40" s="35"/>
    </row>
    <row r="41" spans="1:6" ht="28" x14ac:dyDescent="0.25">
      <c r="A41" s="32">
        <v>19</v>
      </c>
      <c r="B41" s="32" t="str">
        <f>Source!E87</f>
        <v>19</v>
      </c>
      <c r="C41" s="35" t="str">
        <f>Source!G87</f>
        <v>Уборка полиуретанового покрытия игровых площадок, спортивных дорожек и площадок вручную</v>
      </c>
      <c r="D41" s="32" t="s">
        <v>29</v>
      </c>
      <c r="E41" s="36">
        <f>Source!I87</f>
        <v>7.16</v>
      </c>
      <c r="F41" s="35"/>
    </row>
    <row r="42" spans="1:6" ht="28" x14ac:dyDescent="0.25">
      <c r="A42" s="32">
        <v>20</v>
      </c>
      <c r="B42" s="32" t="str">
        <f>Source!E88</f>
        <v>20</v>
      </c>
      <c r="C42" s="35" t="str">
        <f>Source!G88</f>
        <v>Полив тротуаров, придомовых и внутрибольничных проездов средствами малой механизации</v>
      </c>
      <c r="D42" s="32" t="s">
        <v>20</v>
      </c>
      <c r="E42" s="36">
        <f>Source!I88</f>
        <v>81.831000000000003</v>
      </c>
      <c r="F42" s="35"/>
    </row>
    <row r="43" spans="1:6" ht="14" x14ac:dyDescent="0.25">
      <c r="A43" s="32">
        <v>20.100000000000001</v>
      </c>
      <c r="B43" s="32" t="str">
        <f>Source!E89</f>
        <v>20,1</v>
      </c>
      <c r="C43" s="35" t="str">
        <f>Source!G89</f>
        <v>Вода</v>
      </c>
      <c r="D43" s="32" t="s">
        <v>39</v>
      </c>
      <c r="E43" s="36">
        <f>Source!I89</f>
        <v>-286.4085</v>
      </c>
      <c r="F43" s="35"/>
    </row>
    <row r="44" spans="1:6" ht="14" x14ac:dyDescent="0.25">
      <c r="A44" s="32">
        <v>21</v>
      </c>
      <c r="B44" s="32" t="str">
        <f>Source!E92</f>
        <v>21</v>
      </c>
      <c r="C44" s="35" t="str">
        <f>Source!G92</f>
        <v>Протирка садовых диванов и скамеек</v>
      </c>
      <c r="D44" s="32" t="s">
        <v>29</v>
      </c>
      <c r="E44" s="36">
        <f>Source!I92</f>
        <v>0.67079999999999995</v>
      </c>
      <c r="F44" s="35"/>
    </row>
    <row r="45" spans="1:6" ht="28" x14ac:dyDescent="0.25">
      <c r="A45" s="32">
        <v>22</v>
      </c>
      <c r="B45" s="32" t="str">
        <f>Source!E93</f>
        <v>22</v>
      </c>
      <c r="C45" s="35" t="str">
        <f>Source!G93</f>
        <v>Уход за урнами на придомовых и внутрибольничных территориях, очистка урн опрокидывающихся от мусора</v>
      </c>
      <c r="D45" s="32" t="s">
        <v>83</v>
      </c>
      <c r="E45" s="36">
        <f>Source!I93</f>
        <v>0.34</v>
      </c>
      <c r="F45" s="35"/>
    </row>
    <row r="46" spans="1:6" ht="28" x14ac:dyDescent="0.25">
      <c r="A46" s="32">
        <v>23</v>
      </c>
      <c r="B46" s="32" t="str">
        <f>Source!E94</f>
        <v>23</v>
      </c>
      <c r="C46" s="35" t="str">
        <f>Source!G94</f>
        <v>Уход за урнами на придомовых и внутрибольничных территориях, промывка урн опрокидывающихся</v>
      </c>
      <c r="D46" s="32" t="s">
        <v>83</v>
      </c>
      <c r="E46" s="36">
        <f>Source!I94</f>
        <v>0.34</v>
      </c>
      <c r="F46" s="35"/>
    </row>
    <row r="47" spans="1:6" ht="14" x14ac:dyDescent="0.25">
      <c r="A47" s="32">
        <v>24</v>
      </c>
      <c r="B47" s="32" t="str">
        <f>Source!E95</f>
        <v>24</v>
      </c>
      <c r="C47" s="35" t="str">
        <f>Source!G95</f>
        <v>Подметание контейнерной площадки с уборкой мусора</v>
      </c>
      <c r="D47" s="32" t="s">
        <v>181</v>
      </c>
      <c r="E47" s="36">
        <f>Source!I95</f>
        <v>3</v>
      </c>
      <c r="F47" s="35"/>
    </row>
    <row r="48" spans="1:6" ht="28" x14ac:dyDescent="0.25">
      <c r="A48" s="32">
        <v>25</v>
      </c>
      <c r="B48" s="32" t="str">
        <f>Source!E96</f>
        <v>25</v>
      </c>
      <c r="C48" s="35" t="str">
        <f>Source!G96</f>
        <v>Промывка оград металлических простого рисунка от пыли и грязи водой под напором</v>
      </c>
      <c r="D48" s="32" t="s">
        <v>29</v>
      </c>
      <c r="E48" s="36">
        <f>Source!I96</f>
        <v>0.35749999999999998</v>
      </c>
      <c r="F48" s="35"/>
    </row>
    <row r="49" spans="1:6" ht="14" x14ac:dyDescent="0.25">
      <c r="A49" s="32">
        <v>25.1</v>
      </c>
      <c r="B49" s="32" t="str">
        <f>Source!E97</f>
        <v>25,1</v>
      </c>
      <c r="C49" s="35" t="str">
        <f>Source!G97</f>
        <v>Вода</v>
      </c>
      <c r="D49" s="32" t="s">
        <v>39</v>
      </c>
      <c r="E49" s="36">
        <f>Source!I97</f>
        <v>-0.85799999999999998</v>
      </c>
      <c r="F49" s="35"/>
    </row>
    <row r="50" spans="1:6" ht="16.5" x14ac:dyDescent="0.35">
      <c r="A50" s="57" t="str">
        <f>CONCATENATE("Подраздел: ", Source!G129)</f>
        <v xml:space="preserve">Подраздел: Подраздел: УХОД ЗА ЗЕЛЕНЫМИ НАСАЖДЕНИЯМИ </v>
      </c>
      <c r="B50" s="57"/>
      <c r="C50" s="57"/>
      <c r="D50" s="57"/>
      <c r="E50" s="57"/>
      <c r="F50" s="57"/>
    </row>
    <row r="51" spans="1:6" ht="14" x14ac:dyDescent="0.25">
      <c r="A51" s="32">
        <v>26</v>
      </c>
      <c r="B51" s="32" t="str">
        <f>Source!E133</f>
        <v>26</v>
      </c>
      <c r="C51" s="35" t="str">
        <f>Source!G133</f>
        <v>Уборка газонов от опавших листьев и мусора пневмомашиной</v>
      </c>
      <c r="D51" s="32" t="s">
        <v>29</v>
      </c>
      <c r="E51" s="36">
        <f>Source!I133</f>
        <v>84.581000000000003</v>
      </c>
      <c r="F51" s="35"/>
    </row>
    <row r="52" spans="1:6" ht="14" x14ac:dyDescent="0.25">
      <c r="A52" s="32">
        <v>27</v>
      </c>
      <c r="B52" s="32" t="str">
        <f>Source!E134</f>
        <v>27</v>
      </c>
      <c r="C52" s="35" t="str">
        <f>Source!G134</f>
        <v>Уборка газонов от опавших листьев и мусора вручную</v>
      </c>
      <c r="D52" s="32" t="s">
        <v>29</v>
      </c>
      <c r="E52" s="36">
        <f>Source!I134</f>
        <v>84.581000000000003</v>
      </c>
      <c r="F52" s="35"/>
    </row>
    <row r="53" spans="1:6" ht="14" x14ac:dyDescent="0.25">
      <c r="A53" s="32">
        <v>28</v>
      </c>
      <c r="B53" s="32" t="str">
        <f>Source!E135</f>
        <v>28</v>
      </c>
      <c r="C53" s="35" t="str">
        <f>Source!G135</f>
        <v>Уборка опавшей листвы в мешки с погрузкой (8 458,1*0,005)</v>
      </c>
      <c r="D53" s="32" t="s">
        <v>39</v>
      </c>
      <c r="E53" s="36">
        <f>Source!I135</f>
        <v>42.29</v>
      </c>
      <c r="F53" s="35"/>
    </row>
    <row r="54" spans="1:6" ht="14" x14ac:dyDescent="0.25">
      <c r="A54" s="32">
        <v>29</v>
      </c>
      <c r="B54" s="32" t="str">
        <f>Source!E136</f>
        <v>29</v>
      </c>
      <c r="C54" s="35" t="str">
        <f>Source!G136</f>
        <v>Сбор случайного мусора по территории</v>
      </c>
      <c r="D54" s="32" t="s">
        <v>29</v>
      </c>
      <c r="E54" s="36">
        <f>Source!I136</f>
        <v>169.16200000000001</v>
      </c>
      <c r="F54" s="35"/>
    </row>
    <row r="55" spans="1:6" ht="14" x14ac:dyDescent="0.25">
      <c r="A55" s="32">
        <v>30</v>
      </c>
      <c r="B55" s="32" t="str">
        <f>Source!E137</f>
        <v>30</v>
      </c>
      <c r="C55" s="35" t="str">
        <f>Source!G137</f>
        <v>Выкашивание газонов газонокосилкой</v>
      </c>
      <c r="D55" s="32" t="s">
        <v>29</v>
      </c>
      <c r="E55" s="36">
        <f>Source!I137</f>
        <v>845.81</v>
      </c>
      <c r="F55" s="35"/>
    </row>
    <row r="56" spans="1:6" ht="28" x14ac:dyDescent="0.25">
      <c r="A56" s="32">
        <v>31</v>
      </c>
      <c r="B56" s="32" t="str">
        <f>Source!E140</f>
        <v>31</v>
      </c>
      <c r="C56" s="35" t="str">
        <f>Source!G140</f>
        <v>Внесение минеральных удобрений - равномерное внесение в почву сухих минеральных удобрений (без стоимости материалов) (50%)</v>
      </c>
      <c r="D56" s="32" t="s">
        <v>29</v>
      </c>
      <c r="E56" s="36">
        <f>Source!I140</f>
        <v>422.90499999999997</v>
      </c>
      <c r="F56" s="35"/>
    </row>
    <row r="57" spans="1:6" ht="14" x14ac:dyDescent="0.25">
      <c r="A57" s="32">
        <v>31.1</v>
      </c>
      <c r="B57" s="32" t="str">
        <f>Source!E141</f>
        <v>31,1</v>
      </c>
      <c r="C57" s="35" t="str">
        <f>Source!G141</f>
        <v>Удобрения комплексные минеральные для газонов</v>
      </c>
      <c r="D57" s="32" t="s">
        <v>220</v>
      </c>
      <c r="E57" s="36">
        <f>Source!I141</f>
        <v>2114.5250000000001</v>
      </c>
      <c r="F57" s="35"/>
    </row>
    <row r="58" spans="1:6" ht="28" x14ac:dyDescent="0.25">
      <c r="A58" s="32">
        <v>32</v>
      </c>
      <c r="B58" s="32" t="str">
        <f>Source!E142</f>
        <v>32</v>
      </c>
      <c r="C58" s="35" t="str">
        <f>Source!G142</f>
        <v>Уход за кустарниками одиночными и в группах - вырезка сухих сучьев и мелкой суши в первые 1-3 года</v>
      </c>
      <c r="D58" s="32" t="s">
        <v>225</v>
      </c>
      <c r="E58" s="36">
        <f>Source!I142</f>
        <v>7</v>
      </c>
      <c r="F58" s="35"/>
    </row>
    <row r="59" spans="1:6" ht="14" x14ac:dyDescent="0.25">
      <c r="A59" s="32">
        <v>33</v>
      </c>
      <c r="B59" s="32" t="str">
        <f>Source!E143</f>
        <v>33</v>
      </c>
      <c r="C59" s="35" t="str">
        <f>Source!G143</f>
        <v>Полив зеленых насаждений из шланга поливомоечной машины (20 л на 1 м2)</v>
      </c>
      <c r="D59" s="32" t="s">
        <v>39</v>
      </c>
      <c r="E59" s="36">
        <f>Source!I143</f>
        <v>14</v>
      </c>
      <c r="F59" s="35"/>
    </row>
    <row r="60" spans="1:6" ht="14" x14ac:dyDescent="0.25">
      <c r="A60" s="32">
        <v>33.1</v>
      </c>
      <c r="B60" s="32" t="str">
        <f>Source!E144</f>
        <v>33,1</v>
      </c>
      <c r="C60" s="35" t="str">
        <f>Source!G144</f>
        <v>Вода</v>
      </c>
      <c r="D60" s="32" t="s">
        <v>39</v>
      </c>
      <c r="E60" s="36">
        <f>Source!I144</f>
        <v>-280</v>
      </c>
      <c r="F60" s="35"/>
    </row>
    <row r="61" spans="1:6" ht="14" x14ac:dyDescent="0.25">
      <c r="A61" s="32">
        <v>34</v>
      </c>
      <c r="B61" s="32" t="str">
        <f>Source!E145</f>
        <v>34</v>
      </c>
      <c r="C61" s="35" t="str">
        <f>Source!G145</f>
        <v>Полив зеленых насаждений из шланга поливомоечной машины (5 л на 1 м2)</v>
      </c>
      <c r="D61" s="32" t="s">
        <v>39</v>
      </c>
      <c r="E61" s="36">
        <f>Source!I145</f>
        <v>17.55</v>
      </c>
      <c r="F61" s="35"/>
    </row>
    <row r="62" spans="1:6" ht="14" x14ac:dyDescent="0.25">
      <c r="A62" s="32">
        <v>34.1</v>
      </c>
      <c r="B62" s="32" t="str">
        <f>Source!E146</f>
        <v>34,1</v>
      </c>
      <c r="C62" s="35" t="str">
        <f>Source!G146</f>
        <v>Вода</v>
      </c>
      <c r="D62" s="32" t="s">
        <v>39</v>
      </c>
      <c r="E62" s="36">
        <f>Source!I146</f>
        <v>-351</v>
      </c>
      <c r="F62" s="35"/>
    </row>
    <row r="63" spans="1:6" ht="14" x14ac:dyDescent="0.25">
      <c r="A63" s="32">
        <v>35</v>
      </c>
      <c r="B63" s="32" t="str">
        <f>Source!E147</f>
        <v>35</v>
      </c>
      <c r="C63" s="35" t="str">
        <f>Source!G147</f>
        <v>Прополка цветников с применением полотиков</v>
      </c>
      <c r="D63" s="32" t="s">
        <v>29</v>
      </c>
      <c r="E63" s="36">
        <f>Source!I147</f>
        <v>35.1</v>
      </c>
      <c r="F63" s="35"/>
    </row>
    <row r="64" spans="1:6" ht="28" x14ac:dyDescent="0.25">
      <c r="A64" s="32">
        <v>36</v>
      </c>
      <c r="B64" s="32" t="str">
        <f>Source!E148</f>
        <v>36</v>
      </c>
      <c r="C64" s="35" t="str">
        <f>Source!G148</f>
        <v>Обрезка стеблей отцветших цветочных растений и относ их за пределы цветника</v>
      </c>
      <c r="D64" s="32" t="s">
        <v>29</v>
      </c>
      <c r="E64" s="36">
        <f>Source!I148</f>
        <v>35.1</v>
      </c>
      <c r="F64" s="35"/>
    </row>
    <row r="65" spans="1:6" ht="42" x14ac:dyDescent="0.25">
      <c r="A65" s="32">
        <v>37</v>
      </c>
      <c r="B65" s="32" t="str">
        <f>Source!E149</f>
        <v>37</v>
      </c>
      <c r="C65" s="35" t="str">
        <f>Source!G149</f>
        <v>Опрыскивание растений из ранцевого опрыскивателя комплексным органическим жидким многофункциональным удобрением на основе вермикомпоста (без стоимости удобрения)</v>
      </c>
      <c r="D65" s="32" t="s">
        <v>29</v>
      </c>
      <c r="E65" s="36">
        <f>Source!I149</f>
        <v>35.1</v>
      </c>
      <c r="F65" s="35"/>
    </row>
    <row r="66" spans="1:6" ht="28" x14ac:dyDescent="0.25">
      <c r="A66" s="32">
        <v>37.1</v>
      </c>
      <c r="B66" s="32" t="str">
        <f>Source!E150</f>
        <v>37,1</v>
      </c>
      <c r="C66" s="35" t="str">
        <f>Source!G150</f>
        <v>Удобрение - биостимулятор, органическое жидкое, антистрессовое, для некорневой подкормки, типа Текамин Макс (N 7%)</v>
      </c>
      <c r="D66" s="32" t="s">
        <v>250</v>
      </c>
      <c r="E66" s="36">
        <f>Source!I150</f>
        <v>7.02</v>
      </c>
      <c r="F66" s="35"/>
    </row>
    <row r="67" spans="1:6" ht="14" x14ac:dyDescent="0.25">
      <c r="A67" s="32">
        <v>38</v>
      </c>
      <c r="B67" s="32" t="str">
        <f>Source!E151</f>
        <v>38</v>
      </c>
      <c r="C67" s="35" t="str">
        <f>Source!G151</f>
        <v>Полив зеленых насаждений из шланга поливомоечной машины (40 л на 1 м2)</v>
      </c>
      <c r="D67" s="32" t="s">
        <v>39</v>
      </c>
      <c r="E67" s="36">
        <f>Source!I151</f>
        <v>4.7699999999999996</v>
      </c>
      <c r="F67" s="35"/>
    </row>
    <row r="68" spans="1:6" ht="14" x14ac:dyDescent="0.25">
      <c r="A68" s="17">
        <v>38.1</v>
      </c>
      <c r="B68" s="17" t="str">
        <f>Source!E152</f>
        <v>38,1</v>
      </c>
      <c r="C68" s="33" t="str">
        <f>Source!G152</f>
        <v>Вода</v>
      </c>
      <c r="D68" s="17" t="s">
        <v>39</v>
      </c>
      <c r="E68" s="34">
        <f>Source!I152</f>
        <v>-95.4</v>
      </c>
      <c r="F68" s="33"/>
    </row>
    <row r="71" spans="1:6" ht="14" x14ac:dyDescent="0.3">
      <c r="C71" s="37" t="s">
        <v>376</v>
      </c>
      <c r="D71" s="37" t="str">
        <f>IF(Source!X12&lt;&gt;"", Source!X12," ")</f>
        <v xml:space="preserve"> </v>
      </c>
      <c r="E71" s="29"/>
    </row>
    <row r="72" spans="1:6" ht="14" x14ac:dyDescent="0.3">
      <c r="C72" s="9"/>
      <c r="D72" s="29"/>
      <c r="E72" s="29"/>
    </row>
    <row r="73" spans="1:6" ht="14" x14ac:dyDescent="0.3">
      <c r="C73" s="37" t="s">
        <v>377</v>
      </c>
      <c r="D73" s="37" t="str">
        <f>IF(Source!AB12&lt;&gt;"", Source!AB12," ")</f>
        <v xml:space="preserve"> </v>
      </c>
      <c r="E73" s="29"/>
    </row>
  </sheetData>
  <mergeCells count="9">
    <mergeCell ref="A19:F19"/>
    <mergeCell ref="A36:F36"/>
    <mergeCell ref="A50:F50"/>
    <mergeCell ref="D5:E5"/>
    <mergeCell ref="D7:E7"/>
    <mergeCell ref="B12:E12"/>
    <mergeCell ref="B13:E13"/>
    <mergeCell ref="B14:E14"/>
    <mergeCell ref="A18:F18"/>
  </mergeCells>
  <pageMargins left="0.4" right="0.2" top="0.2" bottom="0.4" header="0.2" footer="0.2"/>
  <pageSetup paperSize="9" scale="73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87095-187A-480D-A3D4-33AA80C900ED}">
  <dimension ref="A1:IK286"/>
  <sheetViews>
    <sheetView topLeftCell="A235" workbookViewId="0">
      <selection activeCell="H277" sqref="H277"/>
    </sheetView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33" ht="13" x14ac:dyDescent="0.3">
      <c r="A12" s="1">
        <v>1</v>
      </c>
      <c r="B12" s="1">
        <v>282</v>
      </c>
      <c r="C12" s="1">
        <v>0</v>
      </c>
      <c r="D12" s="1">
        <f>ROW(A246)</f>
        <v>246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ht="13" x14ac:dyDescent="0.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ht="13" x14ac:dyDescent="0.3">
      <c r="A18" s="2">
        <v>52</v>
      </c>
      <c r="B18" s="2">
        <f t="shared" ref="B18:G18" si="0">B246</f>
        <v>282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Зона 2</v>
      </c>
      <c r="H18" s="2"/>
      <c r="I18" s="2"/>
      <c r="J18" s="2"/>
      <c r="K18" s="2"/>
      <c r="L18" s="2"/>
      <c r="M18" s="2"/>
      <c r="N18" s="2"/>
      <c r="O18" s="2">
        <f t="shared" ref="O18:AT18" si="1">O246</f>
        <v>47340883.270000003</v>
      </c>
      <c r="P18" s="2">
        <f t="shared" si="1"/>
        <v>3684583.08</v>
      </c>
      <c r="Q18" s="2">
        <f t="shared" si="1"/>
        <v>28176187.800000001</v>
      </c>
      <c r="R18" s="2">
        <f t="shared" si="1"/>
        <v>12808365.640000001</v>
      </c>
      <c r="S18" s="2">
        <f t="shared" si="1"/>
        <v>15480112.390000001</v>
      </c>
      <c r="T18" s="2">
        <f t="shared" si="1"/>
        <v>0</v>
      </c>
      <c r="U18" s="2">
        <f t="shared" si="1"/>
        <v>34195.882076000002</v>
      </c>
      <c r="V18" s="2">
        <f t="shared" si="1"/>
        <v>0</v>
      </c>
      <c r="W18" s="2">
        <f t="shared" si="1"/>
        <v>0</v>
      </c>
      <c r="X18" s="2">
        <f t="shared" si="1"/>
        <v>10836078.710000001</v>
      </c>
      <c r="Y18" s="2">
        <f t="shared" si="1"/>
        <v>1548011.27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73558008.109999999</v>
      </c>
      <c r="AS18" s="2">
        <f t="shared" si="1"/>
        <v>0</v>
      </c>
      <c r="AT18" s="2">
        <f t="shared" si="1"/>
        <v>0</v>
      </c>
      <c r="AU18" s="2">
        <f t="shared" ref="AU18:BZ18" si="2">AU246</f>
        <v>73558008.109999999</v>
      </c>
      <c r="AV18" s="2">
        <f t="shared" si="2"/>
        <v>3684583.08</v>
      </c>
      <c r="AW18" s="2">
        <f t="shared" si="2"/>
        <v>3684583.08</v>
      </c>
      <c r="AX18" s="2">
        <f t="shared" si="2"/>
        <v>0</v>
      </c>
      <c r="AY18" s="2">
        <f t="shared" si="2"/>
        <v>3684583.08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CA246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DG246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EM246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FS246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ht="13" x14ac:dyDescent="0.3">
      <c r="A20" s="1">
        <v>3</v>
      </c>
      <c r="B20" s="1">
        <v>1</v>
      </c>
      <c r="C20" s="1"/>
      <c r="D20" s="1">
        <f>ROW(A214)</f>
        <v>214</v>
      </c>
      <c r="E20" s="1"/>
      <c r="F20" s="1" t="s">
        <v>12</v>
      </c>
      <c r="G20" s="1" t="s">
        <v>13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ht="13" x14ac:dyDescent="0.3">
      <c r="A22" s="2">
        <v>52</v>
      </c>
      <c r="B22" s="2">
        <f t="shared" ref="B22:G22" si="7">B214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Локальная смета: Зона №2</v>
      </c>
      <c r="H22" s="2"/>
      <c r="I22" s="2"/>
      <c r="J22" s="2"/>
      <c r="K22" s="2"/>
      <c r="L22" s="2"/>
      <c r="M22" s="2"/>
      <c r="N22" s="2"/>
      <c r="O22" s="2">
        <f t="shared" ref="O22:AT22" si="8">O214</f>
        <v>47340883.270000003</v>
      </c>
      <c r="P22" s="2">
        <f t="shared" si="8"/>
        <v>3684583.08</v>
      </c>
      <c r="Q22" s="2">
        <f t="shared" si="8"/>
        <v>28176187.800000001</v>
      </c>
      <c r="R22" s="2">
        <f t="shared" si="8"/>
        <v>12808365.640000001</v>
      </c>
      <c r="S22" s="2">
        <f t="shared" si="8"/>
        <v>15480112.390000001</v>
      </c>
      <c r="T22" s="2">
        <f t="shared" si="8"/>
        <v>0</v>
      </c>
      <c r="U22" s="2">
        <f t="shared" si="8"/>
        <v>34195.882076000002</v>
      </c>
      <c r="V22" s="2">
        <f t="shared" si="8"/>
        <v>0</v>
      </c>
      <c r="W22" s="2">
        <f t="shared" si="8"/>
        <v>0</v>
      </c>
      <c r="X22" s="2">
        <f t="shared" si="8"/>
        <v>10836078.710000001</v>
      </c>
      <c r="Y22" s="2">
        <f t="shared" si="8"/>
        <v>1548011.27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73558008.109999999</v>
      </c>
      <c r="AS22" s="2">
        <f t="shared" si="8"/>
        <v>0</v>
      </c>
      <c r="AT22" s="2">
        <f t="shared" si="8"/>
        <v>0</v>
      </c>
      <c r="AU22" s="2">
        <f t="shared" ref="AU22:BZ22" si="9">AU214</f>
        <v>73558008.109999999</v>
      </c>
      <c r="AV22" s="2">
        <f t="shared" si="9"/>
        <v>3684583.08</v>
      </c>
      <c r="AW22" s="2">
        <f t="shared" si="9"/>
        <v>3684583.08</v>
      </c>
      <c r="AX22" s="2">
        <f t="shared" si="9"/>
        <v>0</v>
      </c>
      <c r="AY22" s="2">
        <f t="shared" si="9"/>
        <v>3684583.08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CA214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DG214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EM214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FS214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ht="13" x14ac:dyDescent="0.3">
      <c r="A24" s="1">
        <v>4</v>
      </c>
      <c r="B24" s="1">
        <v>1</v>
      </c>
      <c r="C24" s="1"/>
      <c r="D24" s="1">
        <f>ROW(A184)</f>
        <v>184</v>
      </c>
      <c r="E24" s="1"/>
      <c r="F24" s="1" t="s">
        <v>14</v>
      </c>
      <c r="G24" s="1" t="s">
        <v>15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ht="13" x14ac:dyDescent="0.3">
      <c r="A26" s="2">
        <v>52</v>
      </c>
      <c r="B26" s="2">
        <f t="shared" ref="B26:G26" si="14">B184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Раздел: Основная зона</v>
      </c>
      <c r="H26" s="2"/>
      <c r="I26" s="2"/>
      <c r="J26" s="2"/>
      <c r="K26" s="2"/>
      <c r="L26" s="2"/>
      <c r="M26" s="2"/>
      <c r="N26" s="2"/>
      <c r="O26" s="2">
        <f t="shared" ref="O26:AT26" si="15">O184</f>
        <v>47340883.270000003</v>
      </c>
      <c r="P26" s="2">
        <f t="shared" si="15"/>
        <v>3684583.08</v>
      </c>
      <c r="Q26" s="2">
        <f t="shared" si="15"/>
        <v>28176187.800000001</v>
      </c>
      <c r="R26" s="2">
        <f t="shared" si="15"/>
        <v>12808365.640000001</v>
      </c>
      <c r="S26" s="2">
        <f t="shared" si="15"/>
        <v>15480112.390000001</v>
      </c>
      <c r="T26" s="2">
        <f t="shared" si="15"/>
        <v>0</v>
      </c>
      <c r="U26" s="2">
        <f t="shared" si="15"/>
        <v>34195.882076000002</v>
      </c>
      <c r="V26" s="2">
        <f t="shared" si="15"/>
        <v>0</v>
      </c>
      <c r="W26" s="2">
        <f t="shared" si="15"/>
        <v>0</v>
      </c>
      <c r="X26" s="2">
        <f t="shared" si="15"/>
        <v>10836078.710000001</v>
      </c>
      <c r="Y26" s="2">
        <f t="shared" si="15"/>
        <v>1548011.27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73558008.109999999</v>
      </c>
      <c r="AS26" s="2">
        <f t="shared" si="15"/>
        <v>0</v>
      </c>
      <c r="AT26" s="2">
        <f t="shared" si="15"/>
        <v>0</v>
      </c>
      <c r="AU26" s="2">
        <f t="shared" ref="AU26:BZ26" si="16">AU184</f>
        <v>73558008.109999999</v>
      </c>
      <c r="AV26" s="2">
        <f t="shared" si="16"/>
        <v>3684583.08</v>
      </c>
      <c r="AW26" s="2">
        <f t="shared" si="16"/>
        <v>3684583.08</v>
      </c>
      <c r="AX26" s="2">
        <f t="shared" si="16"/>
        <v>0</v>
      </c>
      <c r="AY26" s="2">
        <f t="shared" si="16"/>
        <v>3684583.08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CA184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DG184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EM184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FS184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ht="13" x14ac:dyDescent="0.3">
      <c r="A28" s="1">
        <v>5</v>
      </c>
      <c r="B28" s="1">
        <v>1</v>
      </c>
      <c r="C28" s="1"/>
      <c r="D28" s="1">
        <f>ROW(A49)</f>
        <v>49</v>
      </c>
      <c r="E28" s="1"/>
      <c r="F28" s="1" t="s">
        <v>16</v>
      </c>
      <c r="G28" s="1" t="s">
        <v>378</v>
      </c>
      <c r="H28" s="1" t="s">
        <v>3</v>
      </c>
      <c r="I28" s="1">
        <v>0</v>
      </c>
      <c r="J28" s="1"/>
      <c r="K28" s="1">
        <v>0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ht="13" x14ac:dyDescent="0.3">
      <c r="A30" s="2">
        <v>52</v>
      </c>
      <c r="B30" s="2">
        <f t="shared" ref="B30:G30" si="21">B49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Подраздел: ЗИМНЯЯ УБОРКА</v>
      </c>
      <c r="H30" s="2"/>
      <c r="I30" s="2"/>
      <c r="J30" s="2"/>
      <c r="K30" s="2"/>
      <c r="L30" s="2"/>
      <c r="M30" s="2"/>
      <c r="N30" s="2"/>
      <c r="O30" s="2">
        <f t="shared" ref="O30:AT30" si="22">O49</f>
        <v>32601101.969999999</v>
      </c>
      <c r="P30" s="2">
        <f t="shared" si="22"/>
        <v>3366485.92</v>
      </c>
      <c r="Q30" s="2">
        <f t="shared" si="22"/>
        <v>21493265.66</v>
      </c>
      <c r="R30" s="2">
        <f t="shared" si="22"/>
        <v>9811366.6899999995</v>
      </c>
      <c r="S30" s="2">
        <f t="shared" si="22"/>
        <v>7741350.3899999997</v>
      </c>
      <c r="T30" s="2">
        <f t="shared" si="22"/>
        <v>0</v>
      </c>
      <c r="U30" s="2">
        <f t="shared" si="22"/>
        <v>17083.905636000003</v>
      </c>
      <c r="V30" s="2">
        <f t="shared" si="22"/>
        <v>0</v>
      </c>
      <c r="W30" s="2">
        <f t="shared" si="22"/>
        <v>0</v>
      </c>
      <c r="X30" s="2">
        <f t="shared" si="22"/>
        <v>5418945.2800000003</v>
      </c>
      <c r="Y30" s="2">
        <f t="shared" si="22"/>
        <v>774135.06</v>
      </c>
      <c r="Z30" s="2">
        <f t="shared" si="22"/>
        <v>0</v>
      </c>
      <c r="AA30" s="2">
        <f t="shared" si="22"/>
        <v>0</v>
      </c>
      <c r="AB30" s="2">
        <f t="shared" si="22"/>
        <v>32601101.969999999</v>
      </c>
      <c r="AC30" s="2">
        <f t="shared" si="22"/>
        <v>3366485.92</v>
      </c>
      <c r="AD30" s="2">
        <f t="shared" si="22"/>
        <v>21493265.66</v>
      </c>
      <c r="AE30" s="2">
        <f t="shared" si="22"/>
        <v>9811366.6899999995</v>
      </c>
      <c r="AF30" s="2">
        <f t="shared" si="22"/>
        <v>7741350.3899999997</v>
      </c>
      <c r="AG30" s="2">
        <f t="shared" si="22"/>
        <v>0</v>
      </c>
      <c r="AH30" s="2">
        <f t="shared" si="22"/>
        <v>17083.905636000003</v>
      </c>
      <c r="AI30" s="2">
        <f t="shared" si="22"/>
        <v>0</v>
      </c>
      <c r="AJ30" s="2">
        <f t="shared" si="22"/>
        <v>0</v>
      </c>
      <c r="AK30" s="2">
        <f t="shared" si="22"/>
        <v>5418945.2800000003</v>
      </c>
      <c r="AL30" s="2">
        <f t="shared" si="22"/>
        <v>774135.06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49390458.32</v>
      </c>
      <c r="AS30" s="2">
        <f t="shared" si="22"/>
        <v>0</v>
      </c>
      <c r="AT30" s="2">
        <f t="shared" si="22"/>
        <v>0</v>
      </c>
      <c r="AU30" s="2">
        <f t="shared" ref="AU30:BZ30" si="23">AU49</f>
        <v>49390458.32</v>
      </c>
      <c r="AV30" s="2">
        <f t="shared" si="23"/>
        <v>3366485.92</v>
      </c>
      <c r="AW30" s="2">
        <f t="shared" si="23"/>
        <v>3366485.92</v>
      </c>
      <c r="AX30" s="2">
        <f t="shared" si="23"/>
        <v>0</v>
      </c>
      <c r="AY30" s="2">
        <f t="shared" si="23"/>
        <v>3366485.92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CA49</f>
        <v>49390458.32</v>
      </c>
      <c r="CB30" s="2">
        <f t="shared" si="24"/>
        <v>0</v>
      </c>
      <c r="CC30" s="2">
        <f t="shared" si="24"/>
        <v>0</v>
      </c>
      <c r="CD30" s="2">
        <f t="shared" si="24"/>
        <v>49390458.32</v>
      </c>
      <c r="CE30" s="2">
        <f t="shared" si="24"/>
        <v>3366485.92</v>
      </c>
      <c r="CF30" s="2">
        <f t="shared" si="24"/>
        <v>3366485.92</v>
      </c>
      <c r="CG30" s="2">
        <f t="shared" si="24"/>
        <v>0</v>
      </c>
      <c r="CH30" s="2">
        <f t="shared" si="24"/>
        <v>3366485.92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DG49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EM49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FS49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5">
      <c r="A32">
        <v>17</v>
      </c>
      <c r="B32">
        <v>1</v>
      </c>
      <c r="C32">
        <f>ROW(SmtRes!A1)</f>
        <v>1</v>
      </c>
      <c r="D32">
        <f>ROW(EtalonRes!A1)</f>
        <v>1</v>
      </c>
      <c r="E32" t="s">
        <v>17</v>
      </c>
      <c r="F32" t="s">
        <v>18</v>
      </c>
      <c r="G32" t="s">
        <v>19</v>
      </c>
      <c r="H32" t="s">
        <v>20</v>
      </c>
      <c r="I32">
        <v>65.464799999999997</v>
      </c>
      <c r="J32">
        <v>0</v>
      </c>
      <c r="K32">
        <v>65.464799999999997</v>
      </c>
      <c r="O32">
        <f t="shared" ref="O32:O47" si="28">ROUND(CP32,2)</f>
        <v>4529473.51</v>
      </c>
      <c r="P32">
        <f t="shared" ref="P32:P47" si="29">ROUND(CQ32*I32,2)</f>
        <v>0</v>
      </c>
      <c r="Q32">
        <f t="shared" ref="Q32:Q47" si="30">ROUND(CR32*I32,2)</f>
        <v>4529473.51</v>
      </c>
      <c r="R32">
        <f t="shared" ref="R32:R47" si="31">ROUND(CS32*I32,2)</f>
        <v>1571610.18</v>
      </c>
      <c r="S32">
        <f t="shared" ref="S32:S47" si="32">ROUND(CT32*I32,2)</f>
        <v>0</v>
      </c>
      <c r="T32">
        <f t="shared" ref="T32:T47" si="33">ROUND(CU32*I32,2)</f>
        <v>0</v>
      </c>
      <c r="U32">
        <f t="shared" ref="U32:U47" si="34">CV32*I32</f>
        <v>0</v>
      </c>
      <c r="V32">
        <f t="shared" ref="V32:V47" si="35">CW32*I32</f>
        <v>0</v>
      </c>
      <c r="W32">
        <f t="shared" ref="W32:W47" si="36">ROUND(CX32*I32,2)</f>
        <v>0</v>
      </c>
      <c r="X32">
        <f t="shared" ref="X32:X47" si="37">ROUND(CY32,2)</f>
        <v>0</v>
      </c>
      <c r="Y32">
        <f t="shared" ref="Y32:Y47" si="38">ROUND(CZ32,2)</f>
        <v>0</v>
      </c>
      <c r="AA32">
        <v>80890340</v>
      </c>
      <c r="AB32">
        <f t="shared" ref="AB32:AB47" si="39">ROUND((AC32+AD32+AF32),6)</f>
        <v>69189.45</v>
      </c>
      <c r="AC32">
        <f>ROUND(((ES32*55)),6)</f>
        <v>0</v>
      </c>
      <c r="AD32">
        <f>ROUND(((((ET32*55))-((EU32*55)))+AE32),6)</f>
        <v>69189.45</v>
      </c>
      <c r="AE32">
        <f>ROUND(((EU32*55)),6)</f>
        <v>24006.95</v>
      </c>
      <c r="AF32">
        <f>ROUND(((EV32*55)),6)</f>
        <v>0</v>
      </c>
      <c r="AG32">
        <f t="shared" ref="AG32:AG47" si="40">ROUND((AP32),6)</f>
        <v>0</v>
      </c>
      <c r="AH32">
        <f>((EW32*55))</f>
        <v>0</v>
      </c>
      <c r="AI32">
        <f>((EX32*55))</f>
        <v>0</v>
      </c>
      <c r="AJ32">
        <f t="shared" ref="AJ32:AJ47" si="41">(AS32)</f>
        <v>0</v>
      </c>
      <c r="AK32">
        <v>1257.99</v>
      </c>
      <c r="AL32">
        <v>0</v>
      </c>
      <c r="AM32">
        <v>1257.99</v>
      </c>
      <c r="AN32">
        <v>436.49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21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47" si="42">(P32+Q32+S32)</f>
        <v>4529473.51</v>
      </c>
      <c r="CQ32">
        <f t="shared" ref="CQ32:CQ47" si="43">(AC32*BC32*AW32)</f>
        <v>0</v>
      </c>
      <c r="CR32">
        <f>(((((ET32*55))*BB32-((EU32*55))*BS32)+AE32*BS32)*AV32)</f>
        <v>69189.45</v>
      </c>
      <c r="CS32">
        <f t="shared" ref="CS32:CS47" si="44">(AE32*BS32*AV32)</f>
        <v>24006.95</v>
      </c>
      <c r="CT32">
        <f t="shared" ref="CT32:CT47" si="45">(AF32*BA32*AV32)</f>
        <v>0</v>
      </c>
      <c r="CU32">
        <f t="shared" ref="CU32:CU47" si="46">AG32</f>
        <v>0</v>
      </c>
      <c r="CV32">
        <f t="shared" ref="CV32:CV47" si="47">(AH32*AV32)</f>
        <v>0</v>
      </c>
      <c r="CW32">
        <f t="shared" ref="CW32:CW47" si="48">AI32</f>
        <v>0</v>
      </c>
      <c r="CX32">
        <f t="shared" ref="CX32:CX47" si="49">AJ32</f>
        <v>0</v>
      </c>
      <c r="CY32">
        <f t="shared" ref="CY32:CY47" si="50">((S32*BZ32)/100)</f>
        <v>0</v>
      </c>
      <c r="CZ32">
        <f t="shared" ref="CZ32:CZ47" si="51">((S32*CA32)/100)</f>
        <v>0</v>
      </c>
      <c r="DC32" t="s">
        <v>3</v>
      </c>
      <c r="DD32" t="s">
        <v>22</v>
      </c>
      <c r="DE32" t="s">
        <v>22</v>
      </c>
      <c r="DF32" t="s">
        <v>22</v>
      </c>
      <c r="DG32" t="s">
        <v>22</v>
      </c>
      <c r="DH32" t="s">
        <v>3</v>
      </c>
      <c r="DI32" t="s">
        <v>22</v>
      </c>
      <c r="DJ32" t="s">
        <v>22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20</v>
      </c>
      <c r="DW32" t="s">
        <v>20</v>
      </c>
      <c r="DX32">
        <v>1000</v>
      </c>
      <c r="DZ32" t="s">
        <v>3</v>
      </c>
      <c r="EA32" t="s">
        <v>3</v>
      </c>
      <c r="EB32" t="s">
        <v>3</v>
      </c>
      <c r="EC32" t="s">
        <v>3</v>
      </c>
      <c r="EE32">
        <v>80196140</v>
      </c>
      <c r="EF32">
        <v>1</v>
      </c>
      <c r="EG32" t="s">
        <v>23</v>
      </c>
      <c r="EH32">
        <v>0</v>
      </c>
      <c r="EI32" t="s">
        <v>3</v>
      </c>
      <c r="EJ32">
        <v>4</v>
      </c>
      <c r="EK32">
        <v>0</v>
      </c>
      <c r="EL32" t="s">
        <v>24</v>
      </c>
      <c r="EM32" t="s">
        <v>25</v>
      </c>
      <c r="EO32" t="s">
        <v>3</v>
      </c>
      <c r="EQ32">
        <v>0</v>
      </c>
      <c r="ER32">
        <v>1257.99</v>
      </c>
      <c r="ES32">
        <v>0</v>
      </c>
      <c r="ET32">
        <v>1257.99</v>
      </c>
      <c r="EU32">
        <v>436.49</v>
      </c>
      <c r="EV32">
        <v>0</v>
      </c>
      <c r="EW32">
        <v>0</v>
      </c>
      <c r="EX32">
        <v>0</v>
      </c>
      <c r="EY32">
        <v>0</v>
      </c>
      <c r="FQ32">
        <v>0</v>
      </c>
      <c r="FR32"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-459785160</v>
      </c>
      <c r="GG32">
        <v>2</v>
      </c>
      <c r="GH32">
        <v>1</v>
      </c>
      <c r="GI32">
        <v>-2</v>
      </c>
      <c r="GJ32">
        <v>0</v>
      </c>
      <c r="GK32">
        <f>ROUND(R32*(R12)/100,2)</f>
        <v>1697338.99</v>
      </c>
      <c r="GL32">
        <f t="shared" ref="GL32:GL47" si="52">ROUND(IF(AND(BH32=3,BI32=3,FS32&lt;&gt;0),P32,0),2)</f>
        <v>0</v>
      </c>
      <c r="GM32">
        <f t="shared" ref="GM32:GM47" si="53">ROUND(O32+X32+Y32+GK32,2)+GX32</f>
        <v>6226812.5</v>
      </c>
      <c r="GN32">
        <f t="shared" ref="GN32:GN47" si="54">IF(OR(BI32=0,BI32=1),GM32-GX32,0)</f>
        <v>0</v>
      </c>
      <c r="GO32">
        <f t="shared" ref="GO32:GO47" si="55">IF(BI32=2,GM32-GX32,0)</f>
        <v>0</v>
      </c>
      <c r="GP32">
        <f t="shared" ref="GP32:GP47" si="56">IF(BI32=4,GM32-GX32,0)</f>
        <v>6226812.5</v>
      </c>
      <c r="GR32">
        <v>0</v>
      </c>
      <c r="GS32">
        <v>3</v>
      </c>
      <c r="GT32">
        <v>0</v>
      </c>
      <c r="GU32" t="s">
        <v>3</v>
      </c>
      <c r="GV32">
        <f t="shared" ref="GV32:GV47" si="57">ROUND((GT32),6)</f>
        <v>0</v>
      </c>
      <c r="GW32">
        <v>1</v>
      </c>
      <c r="GX32">
        <f t="shared" ref="GX32:GX47" si="58">ROUND(HC32*I32,2)</f>
        <v>0</v>
      </c>
      <c r="HA32">
        <v>0</v>
      </c>
      <c r="HB32">
        <v>0</v>
      </c>
      <c r="HC32">
        <f t="shared" ref="HC32:HC47" si="59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HS32">
        <v>0</v>
      </c>
      <c r="IK32">
        <v>0</v>
      </c>
    </row>
    <row r="33" spans="1:245" x14ac:dyDescent="0.25">
      <c r="A33">
        <v>17</v>
      </c>
      <c r="B33">
        <v>1</v>
      </c>
      <c r="C33">
        <f>ROW(SmtRes!A2)</f>
        <v>2</v>
      </c>
      <c r="D33">
        <f>ROW(EtalonRes!A2)</f>
        <v>2</v>
      </c>
      <c r="E33" t="s">
        <v>26</v>
      </c>
      <c r="F33" t="s">
        <v>27</v>
      </c>
      <c r="G33" t="s">
        <v>28</v>
      </c>
      <c r="H33" t="s">
        <v>29</v>
      </c>
      <c r="I33">
        <v>163.66200000000001</v>
      </c>
      <c r="J33">
        <v>0</v>
      </c>
      <c r="K33">
        <v>163.66200000000001</v>
      </c>
      <c r="O33">
        <f t="shared" si="28"/>
        <v>2651275.2999999998</v>
      </c>
      <c r="P33">
        <f t="shared" si="29"/>
        <v>0</v>
      </c>
      <c r="Q33">
        <f t="shared" si="30"/>
        <v>0</v>
      </c>
      <c r="R33">
        <f t="shared" si="31"/>
        <v>0</v>
      </c>
      <c r="S33">
        <f t="shared" si="32"/>
        <v>2651275.2999999998</v>
      </c>
      <c r="T33">
        <f t="shared" si="33"/>
        <v>0</v>
      </c>
      <c r="U33">
        <f t="shared" si="34"/>
        <v>5850.9165000000003</v>
      </c>
      <c r="V33">
        <f t="shared" si="35"/>
        <v>0</v>
      </c>
      <c r="W33">
        <f t="shared" si="36"/>
        <v>0</v>
      </c>
      <c r="X33">
        <f t="shared" si="37"/>
        <v>1855892.71</v>
      </c>
      <c r="Y33">
        <f t="shared" si="38"/>
        <v>265127.53000000003</v>
      </c>
      <c r="AA33">
        <v>80890340</v>
      </c>
      <c r="AB33">
        <f t="shared" si="39"/>
        <v>16199.7</v>
      </c>
      <c r="AC33">
        <f>ROUND(((ES33*55)),6)</f>
        <v>0</v>
      </c>
      <c r="AD33">
        <f>ROUND(((((ET33*55))-((EU33*55)))+AE33),6)</f>
        <v>0</v>
      </c>
      <c r="AE33">
        <f>ROUND(((EU33*55)),6)</f>
        <v>0</v>
      </c>
      <c r="AF33">
        <f>ROUND(((EV33*55)),6)</f>
        <v>16199.7</v>
      </c>
      <c r="AG33">
        <f t="shared" si="40"/>
        <v>0</v>
      </c>
      <c r="AH33">
        <f>((EW33*55))</f>
        <v>35.75</v>
      </c>
      <c r="AI33">
        <f>((EX33*55))</f>
        <v>0</v>
      </c>
      <c r="AJ33">
        <f t="shared" si="41"/>
        <v>0</v>
      </c>
      <c r="AK33">
        <v>294.54000000000002</v>
      </c>
      <c r="AL33">
        <v>0</v>
      </c>
      <c r="AM33">
        <v>0</v>
      </c>
      <c r="AN33">
        <v>0</v>
      </c>
      <c r="AO33">
        <v>294.54000000000002</v>
      </c>
      <c r="AP33">
        <v>0</v>
      </c>
      <c r="AQ33">
        <v>0.65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30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2"/>
        <v>2651275.2999999998</v>
      </c>
      <c r="CQ33">
        <f t="shared" si="43"/>
        <v>0</v>
      </c>
      <c r="CR33">
        <f>(((((ET33*55))*BB33-((EU33*55))*BS33)+AE33*BS33)*AV33)</f>
        <v>0</v>
      </c>
      <c r="CS33">
        <f t="shared" si="44"/>
        <v>0</v>
      </c>
      <c r="CT33">
        <f t="shared" si="45"/>
        <v>16199.7</v>
      </c>
      <c r="CU33">
        <f t="shared" si="46"/>
        <v>0</v>
      </c>
      <c r="CV33">
        <f t="shared" si="47"/>
        <v>35.75</v>
      </c>
      <c r="CW33">
        <f t="shared" si="48"/>
        <v>0</v>
      </c>
      <c r="CX33">
        <f t="shared" si="49"/>
        <v>0</v>
      </c>
      <c r="CY33">
        <f t="shared" si="50"/>
        <v>1855892.71</v>
      </c>
      <c r="CZ33">
        <f t="shared" si="51"/>
        <v>265127.53000000003</v>
      </c>
      <c r="DC33" t="s">
        <v>3</v>
      </c>
      <c r="DD33" t="s">
        <v>22</v>
      </c>
      <c r="DE33" t="s">
        <v>22</v>
      </c>
      <c r="DF33" t="s">
        <v>22</v>
      </c>
      <c r="DG33" t="s">
        <v>22</v>
      </c>
      <c r="DH33" t="s">
        <v>3</v>
      </c>
      <c r="DI33" t="s">
        <v>22</v>
      </c>
      <c r="DJ33" t="s">
        <v>22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1005</v>
      </c>
      <c r="DV33" t="s">
        <v>29</v>
      </c>
      <c r="DW33" t="s">
        <v>29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80196140</v>
      </c>
      <c r="EF33">
        <v>1</v>
      </c>
      <c r="EG33" t="s">
        <v>23</v>
      </c>
      <c r="EH33">
        <v>0</v>
      </c>
      <c r="EI33" t="s">
        <v>3</v>
      </c>
      <c r="EJ33">
        <v>4</v>
      </c>
      <c r="EK33">
        <v>0</v>
      </c>
      <c r="EL33" t="s">
        <v>24</v>
      </c>
      <c r="EM33" t="s">
        <v>25</v>
      </c>
      <c r="EO33" t="s">
        <v>3</v>
      </c>
      <c r="EQ33">
        <v>0</v>
      </c>
      <c r="ER33">
        <v>294.54000000000002</v>
      </c>
      <c r="ES33">
        <v>0</v>
      </c>
      <c r="ET33">
        <v>0</v>
      </c>
      <c r="EU33">
        <v>0</v>
      </c>
      <c r="EV33">
        <v>294.54000000000002</v>
      </c>
      <c r="EW33">
        <v>0.65</v>
      </c>
      <c r="EX33">
        <v>0</v>
      </c>
      <c r="EY33">
        <v>0</v>
      </c>
      <c r="FQ33">
        <v>0</v>
      </c>
      <c r="FR33"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-476776594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2"/>
        <v>0</v>
      </c>
      <c r="GM33">
        <f t="shared" si="53"/>
        <v>4772295.54</v>
      </c>
      <c r="GN33">
        <f t="shared" si="54"/>
        <v>0</v>
      </c>
      <c r="GO33">
        <f t="shared" si="55"/>
        <v>0</v>
      </c>
      <c r="GP33">
        <f t="shared" si="56"/>
        <v>4772295.54</v>
      </c>
      <c r="GR33">
        <v>0</v>
      </c>
      <c r="GS33">
        <v>3</v>
      </c>
      <c r="GT33">
        <v>0</v>
      </c>
      <c r="GU33" t="s">
        <v>3</v>
      </c>
      <c r="GV33">
        <f t="shared" si="57"/>
        <v>0</v>
      </c>
      <c r="GW33">
        <v>1</v>
      </c>
      <c r="GX33">
        <f t="shared" si="58"/>
        <v>0</v>
      </c>
      <c r="HA33">
        <v>0</v>
      </c>
      <c r="HB33">
        <v>0</v>
      </c>
      <c r="HC33">
        <f t="shared" si="59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HS33">
        <v>0</v>
      </c>
      <c r="IK33">
        <v>0</v>
      </c>
    </row>
    <row r="34" spans="1:245" x14ac:dyDescent="0.25">
      <c r="A34">
        <v>17</v>
      </c>
      <c r="B34">
        <v>1</v>
      </c>
      <c r="C34">
        <f>ROW(SmtRes!A4)</f>
        <v>4</v>
      </c>
      <c r="D34">
        <f>ROW(EtalonRes!A4)</f>
        <v>4</v>
      </c>
      <c r="E34" t="s">
        <v>31</v>
      </c>
      <c r="F34" t="s">
        <v>32</v>
      </c>
      <c r="G34" t="s">
        <v>33</v>
      </c>
      <c r="H34" t="s">
        <v>20</v>
      </c>
      <c r="I34">
        <v>65.464799999999997</v>
      </c>
      <c r="J34">
        <v>0</v>
      </c>
      <c r="K34">
        <v>65.464799999999997</v>
      </c>
      <c r="O34">
        <f t="shared" si="28"/>
        <v>3448797.61</v>
      </c>
      <c r="P34">
        <f t="shared" si="29"/>
        <v>79641.86</v>
      </c>
      <c r="Q34">
        <f t="shared" si="30"/>
        <v>3369155.75</v>
      </c>
      <c r="R34">
        <f t="shared" si="31"/>
        <v>1592473.81</v>
      </c>
      <c r="S34">
        <f t="shared" si="32"/>
        <v>0</v>
      </c>
      <c r="T34">
        <f t="shared" si="33"/>
        <v>0</v>
      </c>
      <c r="U34">
        <f t="shared" si="34"/>
        <v>0</v>
      </c>
      <c r="V34">
        <f t="shared" si="35"/>
        <v>0</v>
      </c>
      <c r="W34">
        <f t="shared" si="36"/>
        <v>0</v>
      </c>
      <c r="X34">
        <f t="shared" si="37"/>
        <v>0</v>
      </c>
      <c r="Y34">
        <f t="shared" si="38"/>
        <v>0</v>
      </c>
      <c r="AA34">
        <v>80890340</v>
      </c>
      <c r="AB34">
        <f t="shared" si="39"/>
        <v>52681.71</v>
      </c>
      <c r="AC34">
        <f>ROUND(((ES34*111)),6)</f>
        <v>1216.56</v>
      </c>
      <c r="AD34">
        <f>ROUND(((((ET34*111))-((EU34*111)))+AE34),6)</f>
        <v>51465.15</v>
      </c>
      <c r="AE34">
        <f>ROUND(((EU34*111)),6)</f>
        <v>24325.65</v>
      </c>
      <c r="AF34">
        <f>ROUND(((EV34*111)),6)</f>
        <v>0</v>
      </c>
      <c r="AG34">
        <f t="shared" si="40"/>
        <v>0</v>
      </c>
      <c r="AH34">
        <f>((EW34*111))</f>
        <v>0</v>
      </c>
      <c r="AI34">
        <f>((EX34*111))</f>
        <v>0</v>
      </c>
      <c r="AJ34">
        <f t="shared" si="41"/>
        <v>0</v>
      </c>
      <c r="AK34">
        <v>474.61</v>
      </c>
      <c r="AL34">
        <v>10.96</v>
      </c>
      <c r="AM34">
        <v>463.65</v>
      </c>
      <c r="AN34">
        <v>219.15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34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2"/>
        <v>3448797.61</v>
      </c>
      <c r="CQ34">
        <f t="shared" si="43"/>
        <v>1216.56</v>
      </c>
      <c r="CR34">
        <f>(((((ET34*111))*BB34-((EU34*111))*BS34)+AE34*BS34)*AV34)</f>
        <v>51465.149999999994</v>
      </c>
      <c r="CS34">
        <f t="shared" si="44"/>
        <v>24325.65</v>
      </c>
      <c r="CT34">
        <f t="shared" si="45"/>
        <v>0</v>
      </c>
      <c r="CU34">
        <f t="shared" si="46"/>
        <v>0</v>
      </c>
      <c r="CV34">
        <f t="shared" si="47"/>
        <v>0</v>
      </c>
      <c r="CW34">
        <f t="shared" si="48"/>
        <v>0</v>
      </c>
      <c r="CX34">
        <f t="shared" si="49"/>
        <v>0</v>
      </c>
      <c r="CY34">
        <f t="shared" si="50"/>
        <v>0</v>
      </c>
      <c r="CZ34">
        <f t="shared" si="51"/>
        <v>0</v>
      </c>
      <c r="DC34" t="s">
        <v>3</v>
      </c>
      <c r="DD34" t="s">
        <v>35</v>
      </c>
      <c r="DE34" t="s">
        <v>35</v>
      </c>
      <c r="DF34" t="s">
        <v>35</v>
      </c>
      <c r="DG34" t="s">
        <v>35</v>
      </c>
      <c r="DH34" t="s">
        <v>3</v>
      </c>
      <c r="DI34" t="s">
        <v>35</v>
      </c>
      <c r="DJ34" t="s">
        <v>35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1005</v>
      </c>
      <c r="DV34" t="s">
        <v>20</v>
      </c>
      <c r="DW34" t="s">
        <v>20</v>
      </c>
      <c r="DX34">
        <v>1000</v>
      </c>
      <c r="DZ34" t="s">
        <v>3</v>
      </c>
      <c r="EA34" t="s">
        <v>3</v>
      </c>
      <c r="EB34" t="s">
        <v>3</v>
      </c>
      <c r="EC34" t="s">
        <v>3</v>
      </c>
      <c r="EE34">
        <v>80196140</v>
      </c>
      <c r="EF34">
        <v>1</v>
      </c>
      <c r="EG34" t="s">
        <v>23</v>
      </c>
      <c r="EH34">
        <v>0</v>
      </c>
      <c r="EI34" t="s">
        <v>3</v>
      </c>
      <c r="EJ34">
        <v>4</v>
      </c>
      <c r="EK34">
        <v>0</v>
      </c>
      <c r="EL34" t="s">
        <v>24</v>
      </c>
      <c r="EM34" t="s">
        <v>25</v>
      </c>
      <c r="EO34" t="s">
        <v>3</v>
      </c>
      <c r="EQ34">
        <v>0</v>
      </c>
      <c r="ER34">
        <v>474.61</v>
      </c>
      <c r="ES34">
        <v>10.96</v>
      </c>
      <c r="ET34">
        <v>463.65</v>
      </c>
      <c r="EU34">
        <v>219.15</v>
      </c>
      <c r="EV34">
        <v>0</v>
      </c>
      <c r="EW34">
        <v>0</v>
      </c>
      <c r="EX34">
        <v>0</v>
      </c>
      <c r="EY34">
        <v>0</v>
      </c>
      <c r="FQ34">
        <v>0</v>
      </c>
      <c r="FR34"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-64890484</v>
      </c>
      <c r="GG34">
        <v>2</v>
      </c>
      <c r="GH34">
        <v>1</v>
      </c>
      <c r="GI34">
        <v>-2</v>
      </c>
      <c r="GJ34">
        <v>0</v>
      </c>
      <c r="GK34">
        <f>ROUND(R34*(R12)/100,2)</f>
        <v>1719871.71</v>
      </c>
      <c r="GL34">
        <f t="shared" si="52"/>
        <v>0</v>
      </c>
      <c r="GM34">
        <f t="shared" si="53"/>
        <v>5168669.32</v>
      </c>
      <c r="GN34">
        <f t="shared" si="54"/>
        <v>0</v>
      </c>
      <c r="GO34">
        <f t="shared" si="55"/>
        <v>0</v>
      </c>
      <c r="GP34">
        <f t="shared" si="56"/>
        <v>5168669.32</v>
      </c>
      <c r="GR34">
        <v>0</v>
      </c>
      <c r="GS34">
        <v>3</v>
      </c>
      <c r="GT34">
        <v>0</v>
      </c>
      <c r="GU34" t="s">
        <v>3</v>
      </c>
      <c r="GV34">
        <f t="shared" si="57"/>
        <v>0</v>
      </c>
      <c r="GW34">
        <v>1</v>
      </c>
      <c r="GX34">
        <f t="shared" si="58"/>
        <v>0</v>
      </c>
      <c r="HA34">
        <v>0</v>
      </c>
      <c r="HB34">
        <v>0</v>
      </c>
      <c r="HC34">
        <f t="shared" si="59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HS34">
        <v>0</v>
      </c>
      <c r="IK34">
        <v>0</v>
      </c>
    </row>
    <row r="35" spans="1:245" x14ac:dyDescent="0.25">
      <c r="A35">
        <v>18</v>
      </c>
      <c r="B35">
        <v>1</v>
      </c>
      <c r="C35">
        <v>4</v>
      </c>
      <c r="E35" t="s">
        <v>36</v>
      </c>
      <c r="F35" t="s">
        <v>37</v>
      </c>
      <c r="G35" t="s">
        <v>38</v>
      </c>
      <c r="H35" t="s">
        <v>39</v>
      </c>
      <c r="I35">
        <f>I34*J35</f>
        <v>-1453.3185599999999</v>
      </c>
      <c r="J35">
        <v>-22.2</v>
      </c>
      <c r="K35">
        <v>-0.2</v>
      </c>
      <c r="O35">
        <f t="shared" si="28"/>
        <v>-79656.39</v>
      </c>
      <c r="P35">
        <f t="shared" si="29"/>
        <v>-79656.39</v>
      </c>
      <c r="Q35">
        <f t="shared" si="30"/>
        <v>0</v>
      </c>
      <c r="R35">
        <f t="shared" si="31"/>
        <v>0</v>
      </c>
      <c r="S35">
        <f t="shared" si="32"/>
        <v>0</v>
      </c>
      <c r="T35">
        <f t="shared" si="33"/>
        <v>0</v>
      </c>
      <c r="U35">
        <f t="shared" si="34"/>
        <v>0</v>
      </c>
      <c r="V35">
        <f t="shared" si="35"/>
        <v>0</v>
      </c>
      <c r="W35">
        <f t="shared" si="36"/>
        <v>0</v>
      </c>
      <c r="X35">
        <f t="shared" si="37"/>
        <v>0</v>
      </c>
      <c r="Y35">
        <f t="shared" si="38"/>
        <v>0</v>
      </c>
      <c r="AA35">
        <v>80890340</v>
      </c>
      <c r="AB35">
        <f t="shared" si="39"/>
        <v>54.81</v>
      </c>
      <c r="AC35">
        <f>ROUND((ES35),6)</f>
        <v>54.81</v>
      </c>
      <c r="AD35">
        <f>ROUND((((ET35)-(EU35))+AE35),6)</f>
        <v>0</v>
      </c>
      <c r="AE35">
        <f>ROUND((EU35),6)</f>
        <v>0</v>
      </c>
      <c r="AF35">
        <f>ROUND((EV35),6)</f>
        <v>0</v>
      </c>
      <c r="AG35">
        <f t="shared" si="40"/>
        <v>0</v>
      </c>
      <c r="AH35">
        <f>(EW35)</f>
        <v>0</v>
      </c>
      <c r="AI35">
        <f>(EX35)</f>
        <v>0</v>
      </c>
      <c r="AJ35">
        <f t="shared" si="41"/>
        <v>0</v>
      </c>
      <c r="AK35">
        <v>54.81</v>
      </c>
      <c r="AL35">
        <v>54.81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4</v>
      </c>
      <c r="BJ35" t="s">
        <v>40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1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2"/>
        <v>-79656.39</v>
      </c>
      <c r="CQ35">
        <f t="shared" si="43"/>
        <v>54.81</v>
      </c>
      <c r="CR35">
        <f>((((ET35)*BB35-(EU35)*BS35)+AE35*BS35)*AV35)</f>
        <v>0</v>
      </c>
      <c r="CS35">
        <f t="shared" si="44"/>
        <v>0</v>
      </c>
      <c r="CT35">
        <f t="shared" si="45"/>
        <v>0</v>
      </c>
      <c r="CU35">
        <f t="shared" si="46"/>
        <v>0</v>
      </c>
      <c r="CV35">
        <f t="shared" si="47"/>
        <v>0</v>
      </c>
      <c r="CW35">
        <f t="shared" si="48"/>
        <v>0</v>
      </c>
      <c r="CX35">
        <f t="shared" si="49"/>
        <v>0</v>
      </c>
      <c r="CY35">
        <f t="shared" si="50"/>
        <v>0</v>
      </c>
      <c r="CZ35">
        <f t="shared" si="51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1007</v>
      </c>
      <c r="DV35" t="s">
        <v>39</v>
      </c>
      <c r="DW35" t="s">
        <v>39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80196140</v>
      </c>
      <c r="EF35">
        <v>1</v>
      </c>
      <c r="EG35" t="s">
        <v>23</v>
      </c>
      <c r="EH35">
        <v>0</v>
      </c>
      <c r="EI35" t="s">
        <v>3</v>
      </c>
      <c r="EJ35">
        <v>4</v>
      </c>
      <c r="EK35">
        <v>0</v>
      </c>
      <c r="EL35" t="s">
        <v>24</v>
      </c>
      <c r="EM35" t="s">
        <v>25</v>
      </c>
      <c r="EO35" t="s">
        <v>3</v>
      </c>
      <c r="EQ35">
        <v>0</v>
      </c>
      <c r="ER35">
        <v>54.81</v>
      </c>
      <c r="ES35">
        <v>54.81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2112060389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52"/>
        <v>0</v>
      </c>
      <c r="GM35">
        <f t="shared" si="53"/>
        <v>-79656.39</v>
      </c>
      <c r="GN35">
        <f t="shared" si="54"/>
        <v>0</v>
      </c>
      <c r="GO35">
        <f t="shared" si="55"/>
        <v>0</v>
      </c>
      <c r="GP35">
        <f t="shared" si="56"/>
        <v>-79656.39</v>
      </c>
      <c r="GR35">
        <v>0</v>
      </c>
      <c r="GS35">
        <v>3</v>
      </c>
      <c r="GT35">
        <v>0</v>
      </c>
      <c r="GU35" t="s">
        <v>3</v>
      </c>
      <c r="GV35">
        <f t="shared" si="57"/>
        <v>0</v>
      </c>
      <c r="GW35">
        <v>1</v>
      </c>
      <c r="GX35">
        <f t="shared" si="58"/>
        <v>0</v>
      </c>
      <c r="HA35">
        <v>0</v>
      </c>
      <c r="HB35">
        <v>0</v>
      </c>
      <c r="HC35">
        <f t="shared" si="59"/>
        <v>0</v>
      </c>
      <c r="HE35" t="s">
        <v>3</v>
      </c>
      <c r="HF35" t="s">
        <v>3</v>
      </c>
      <c r="HM35" t="s">
        <v>35</v>
      </c>
      <c r="HN35" t="s">
        <v>3</v>
      </c>
      <c r="HO35" t="s">
        <v>3</v>
      </c>
      <c r="HP35" t="s">
        <v>3</v>
      </c>
      <c r="HQ35" t="s">
        <v>3</v>
      </c>
      <c r="HS35">
        <v>0</v>
      </c>
      <c r="IK35">
        <v>0</v>
      </c>
    </row>
    <row r="36" spans="1:245" x14ac:dyDescent="0.25">
      <c r="A36">
        <v>17</v>
      </c>
      <c r="B36">
        <v>1</v>
      </c>
      <c r="C36">
        <f>ROW(SmtRes!A5)</f>
        <v>5</v>
      </c>
      <c r="D36">
        <f>ROW(EtalonRes!A5)</f>
        <v>5</v>
      </c>
      <c r="E36" t="s">
        <v>41</v>
      </c>
      <c r="F36" t="s">
        <v>42</v>
      </c>
      <c r="G36" t="s">
        <v>43</v>
      </c>
      <c r="H36" t="s">
        <v>29</v>
      </c>
      <c r="I36">
        <v>163.66200000000001</v>
      </c>
      <c r="J36">
        <v>0</v>
      </c>
      <c r="K36">
        <v>163.66200000000001</v>
      </c>
      <c r="O36">
        <f t="shared" si="28"/>
        <v>1152481.6200000001</v>
      </c>
      <c r="P36">
        <f t="shared" si="29"/>
        <v>0</v>
      </c>
      <c r="Q36">
        <f t="shared" si="30"/>
        <v>0</v>
      </c>
      <c r="R36">
        <f t="shared" si="31"/>
        <v>0</v>
      </c>
      <c r="S36">
        <f t="shared" si="32"/>
        <v>1152481.6200000001</v>
      </c>
      <c r="T36">
        <f t="shared" si="33"/>
        <v>0</v>
      </c>
      <c r="U36">
        <f t="shared" si="34"/>
        <v>2543.3074800000004</v>
      </c>
      <c r="V36">
        <f t="shared" si="35"/>
        <v>0</v>
      </c>
      <c r="W36">
        <f t="shared" si="36"/>
        <v>0</v>
      </c>
      <c r="X36">
        <f t="shared" si="37"/>
        <v>806737.13</v>
      </c>
      <c r="Y36">
        <f t="shared" si="38"/>
        <v>115248.16</v>
      </c>
      <c r="AA36">
        <v>80890340</v>
      </c>
      <c r="AB36">
        <f t="shared" si="39"/>
        <v>7041.84</v>
      </c>
      <c r="AC36">
        <f>ROUND(((ES36*111)),6)</f>
        <v>0</v>
      </c>
      <c r="AD36">
        <f>ROUND(((((ET36*111))-((EU36*111)))+AE36),6)</f>
        <v>0</v>
      </c>
      <c r="AE36">
        <f>ROUND(((EU36*111)),6)</f>
        <v>0</v>
      </c>
      <c r="AF36">
        <f>ROUND(((EV36*111)),6)</f>
        <v>7041.84</v>
      </c>
      <c r="AG36">
        <f t="shared" si="40"/>
        <v>0</v>
      </c>
      <c r="AH36">
        <f>((EW36*111))</f>
        <v>15.540000000000001</v>
      </c>
      <c r="AI36">
        <f>((EX36*111))</f>
        <v>0</v>
      </c>
      <c r="AJ36">
        <f t="shared" si="41"/>
        <v>0</v>
      </c>
      <c r="AK36">
        <v>63.44</v>
      </c>
      <c r="AL36">
        <v>0</v>
      </c>
      <c r="AM36">
        <v>0</v>
      </c>
      <c r="AN36">
        <v>0</v>
      </c>
      <c r="AO36">
        <v>63.44</v>
      </c>
      <c r="AP36">
        <v>0</v>
      </c>
      <c r="AQ36">
        <v>0.14000000000000001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44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2"/>
        <v>1152481.6200000001</v>
      </c>
      <c r="CQ36">
        <f t="shared" si="43"/>
        <v>0</v>
      </c>
      <c r="CR36">
        <f>(((((ET36*111))*BB36-((EU36*111))*BS36)+AE36*BS36)*AV36)</f>
        <v>0</v>
      </c>
      <c r="CS36">
        <f t="shared" si="44"/>
        <v>0</v>
      </c>
      <c r="CT36">
        <f t="shared" si="45"/>
        <v>7041.84</v>
      </c>
      <c r="CU36">
        <f t="shared" si="46"/>
        <v>0</v>
      </c>
      <c r="CV36">
        <f t="shared" si="47"/>
        <v>15.540000000000001</v>
      </c>
      <c r="CW36">
        <f t="shared" si="48"/>
        <v>0</v>
      </c>
      <c r="CX36">
        <f t="shared" si="49"/>
        <v>0</v>
      </c>
      <c r="CY36">
        <f t="shared" si="50"/>
        <v>806737.13400000008</v>
      </c>
      <c r="CZ36">
        <f t="shared" si="51"/>
        <v>115248.16200000001</v>
      </c>
      <c r="DC36" t="s">
        <v>3</v>
      </c>
      <c r="DD36" t="s">
        <v>35</v>
      </c>
      <c r="DE36" t="s">
        <v>35</v>
      </c>
      <c r="DF36" t="s">
        <v>35</v>
      </c>
      <c r="DG36" t="s">
        <v>35</v>
      </c>
      <c r="DH36" t="s">
        <v>3</v>
      </c>
      <c r="DI36" t="s">
        <v>35</v>
      </c>
      <c r="DJ36" t="s">
        <v>35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1005</v>
      </c>
      <c r="DV36" t="s">
        <v>29</v>
      </c>
      <c r="DW36" t="s">
        <v>29</v>
      </c>
      <c r="DX36">
        <v>100</v>
      </c>
      <c r="DZ36" t="s">
        <v>3</v>
      </c>
      <c r="EA36" t="s">
        <v>3</v>
      </c>
      <c r="EB36" t="s">
        <v>3</v>
      </c>
      <c r="EC36" t="s">
        <v>3</v>
      </c>
      <c r="EE36">
        <v>80196140</v>
      </c>
      <c r="EF36">
        <v>1</v>
      </c>
      <c r="EG36" t="s">
        <v>23</v>
      </c>
      <c r="EH36">
        <v>0</v>
      </c>
      <c r="EI36" t="s">
        <v>3</v>
      </c>
      <c r="EJ36">
        <v>4</v>
      </c>
      <c r="EK36">
        <v>0</v>
      </c>
      <c r="EL36" t="s">
        <v>24</v>
      </c>
      <c r="EM36" t="s">
        <v>25</v>
      </c>
      <c r="EO36" t="s">
        <v>3</v>
      </c>
      <c r="EQ36">
        <v>0</v>
      </c>
      <c r="ER36">
        <v>63.44</v>
      </c>
      <c r="ES36">
        <v>0</v>
      </c>
      <c r="ET36">
        <v>0</v>
      </c>
      <c r="EU36">
        <v>0</v>
      </c>
      <c r="EV36">
        <v>63.44</v>
      </c>
      <c r="EW36">
        <v>0.14000000000000001</v>
      </c>
      <c r="EX36">
        <v>0</v>
      </c>
      <c r="EY36">
        <v>0</v>
      </c>
      <c r="FQ36">
        <v>0</v>
      </c>
      <c r="FR36"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-502436687</v>
      </c>
      <c r="GG36">
        <v>2</v>
      </c>
      <c r="GH36">
        <v>1</v>
      </c>
      <c r="GI36">
        <v>-2</v>
      </c>
      <c r="GJ36">
        <v>0</v>
      </c>
      <c r="GK36">
        <f>ROUND(R36*(R12)/100,2)</f>
        <v>0</v>
      </c>
      <c r="GL36">
        <f t="shared" si="52"/>
        <v>0</v>
      </c>
      <c r="GM36">
        <f t="shared" si="53"/>
        <v>2074466.91</v>
      </c>
      <c r="GN36">
        <f t="shared" si="54"/>
        <v>0</v>
      </c>
      <c r="GO36">
        <f t="shared" si="55"/>
        <v>0</v>
      </c>
      <c r="GP36">
        <f t="shared" si="56"/>
        <v>2074466.91</v>
      </c>
      <c r="GR36">
        <v>0</v>
      </c>
      <c r="GS36">
        <v>3</v>
      </c>
      <c r="GT36">
        <v>0</v>
      </c>
      <c r="GU36" t="s">
        <v>3</v>
      </c>
      <c r="GV36">
        <f t="shared" si="57"/>
        <v>0</v>
      </c>
      <c r="GW36">
        <v>1</v>
      </c>
      <c r="GX36">
        <f t="shared" si="58"/>
        <v>0</v>
      </c>
      <c r="HA36">
        <v>0</v>
      </c>
      <c r="HB36">
        <v>0</v>
      </c>
      <c r="HC36">
        <f t="shared" si="59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HS36">
        <v>0</v>
      </c>
      <c r="IK36">
        <v>0</v>
      </c>
    </row>
    <row r="37" spans="1:245" x14ac:dyDescent="0.25">
      <c r="A37">
        <v>17</v>
      </c>
      <c r="B37">
        <v>1</v>
      </c>
      <c r="C37">
        <f>ROW(SmtRes!A6)</f>
        <v>6</v>
      </c>
      <c r="D37">
        <f>ROW(EtalonRes!A6)</f>
        <v>6</v>
      </c>
      <c r="E37" t="s">
        <v>45</v>
      </c>
      <c r="F37" t="s">
        <v>46</v>
      </c>
      <c r="G37" t="s">
        <v>47</v>
      </c>
      <c r="H37" t="s">
        <v>29</v>
      </c>
      <c r="I37">
        <f>ROUND(94.55/100,9)</f>
        <v>0.94550000000000001</v>
      </c>
      <c r="J37">
        <v>0</v>
      </c>
      <c r="K37">
        <f>ROUND(94.55/100,9)</f>
        <v>0.94550000000000001</v>
      </c>
      <c r="O37">
        <f t="shared" si="28"/>
        <v>5655.27</v>
      </c>
      <c r="P37">
        <f t="shared" si="29"/>
        <v>0</v>
      </c>
      <c r="Q37">
        <f t="shared" si="30"/>
        <v>0</v>
      </c>
      <c r="R37">
        <f t="shared" si="31"/>
        <v>0</v>
      </c>
      <c r="S37">
        <f t="shared" si="32"/>
        <v>5655.27</v>
      </c>
      <c r="T37">
        <f t="shared" si="33"/>
        <v>0</v>
      </c>
      <c r="U37">
        <f t="shared" si="34"/>
        <v>12.480599999999999</v>
      </c>
      <c r="V37">
        <f t="shared" si="35"/>
        <v>0</v>
      </c>
      <c r="W37">
        <f t="shared" si="36"/>
        <v>0</v>
      </c>
      <c r="X37">
        <f t="shared" si="37"/>
        <v>3958.69</v>
      </c>
      <c r="Y37">
        <f t="shared" si="38"/>
        <v>565.53</v>
      </c>
      <c r="AA37">
        <v>80890340</v>
      </c>
      <c r="AB37">
        <f t="shared" si="39"/>
        <v>5981.25</v>
      </c>
      <c r="AC37">
        <f>ROUND(((ES37*55)),6)</f>
        <v>0</v>
      </c>
      <c r="AD37">
        <f>ROUND(((((ET37*55))-((EU37*55)))+AE37),6)</f>
        <v>0</v>
      </c>
      <c r="AE37">
        <f>ROUND(((EU37*55)),6)</f>
        <v>0</v>
      </c>
      <c r="AF37">
        <f>ROUND(((EV37*55)),6)</f>
        <v>5981.25</v>
      </c>
      <c r="AG37">
        <f t="shared" si="40"/>
        <v>0</v>
      </c>
      <c r="AH37">
        <f>((EW37*55))</f>
        <v>13.2</v>
      </c>
      <c r="AI37">
        <f>((EX37*55))</f>
        <v>0</v>
      </c>
      <c r="AJ37">
        <f t="shared" si="41"/>
        <v>0</v>
      </c>
      <c r="AK37">
        <v>108.75</v>
      </c>
      <c r="AL37">
        <v>0</v>
      </c>
      <c r="AM37">
        <v>0</v>
      </c>
      <c r="AN37">
        <v>0</v>
      </c>
      <c r="AO37">
        <v>108.75</v>
      </c>
      <c r="AP37">
        <v>0</v>
      </c>
      <c r="AQ37">
        <v>0.24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48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2"/>
        <v>5655.27</v>
      </c>
      <c r="CQ37">
        <f t="shared" si="43"/>
        <v>0</v>
      </c>
      <c r="CR37">
        <f>(((((ET37*55))*BB37-((EU37*55))*BS37)+AE37*BS37)*AV37)</f>
        <v>0</v>
      </c>
      <c r="CS37">
        <f t="shared" si="44"/>
        <v>0</v>
      </c>
      <c r="CT37">
        <f t="shared" si="45"/>
        <v>5981.25</v>
      </c>
      <c r="CU37">
        <f t="shared" si="46"/>
        <v>0</v>
      </c>
      <c r="CV37">
        <f t="shared" si="47"/>
        <v>13.2</v>
      </c>
      <c r="CW37">
        <f t="shared" si="48"/>
        <v>0</v>
      </c>
      <c r="CX37">
        <f t="shared" si="49"/>
        <v>0</v>
      </c>
      <c r="CY37">
        <f t="shared" si="50"/>
        <v>3958.6890000000003</v>
      </c>
      <c r="CZ37">
        <f t="shared" si="51"/>
        <v>565.52700000000004</v>
      </c>
      <c r="DC37" t="s">
        <v>3</v>
      </c>
      <c r="DD37" t="s">
        <v>22</v>
      </c>
      <c r="DE37" t="s">
        <v>22</v>
      </c>
      <c r="DF37" t="s">
        <v>22</v>
      </c>
      <c r="DG37" t="s">
        <v>22</v>
      </c>
      <c r="DH37" t="s">
        <v>3</v>
      </c>
      <c r="DI37" t="s">
        <v>22</v>
      </c>
      <c r="DJ37" t="s">
        <v>22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1005</v>
      </c>
      <c r="DV37" t="s">
        <v>29</v>
      </c>
      <c r="DW37" t="s">
        <v>29</v>
      </c>
      <c r="DX37">
        <v>100</v>
      </c>
      <c r="DZ37" t="s">
        <v>3</v>
      </c>
      <c r="EA37" t="s">
        <v>3</v>
      </c>
      <c r="EB37" t="s">
        <v>3</v>
      </c>
      <c r="EC37" t="s">
        <v>3</v>
      </c>
      <c r="EE37">
        <v>80196140</v>
      </c>
      <c r="EF37">
        <v>1</v>
      </c>
      <c r="EG37" t="s">
        <v>23</v>
      </c>
      <c r="EH37">
        <v>0</v>
      </c>
      <c r="EI37" t="s">
        <v>3</v>
      </c>
      <c r="EJ37">
        <v>4</v>
      </c>
      <c r="EK37">
        <v>0</v>
      </c>
      <c r="EL37" t="s">
        <v>24</v>
      </c>
      <c r="EM37" t="s">
        <v>25</v>
      </c>
      <c r="EO37" t="s">
        <v>3</v>
      </c>
      <c r="EQ37">
        <v>0</v>
      </c>
      <c r="ER37">
        <v>108.75</v>
      </c>
      <c r="ES37">
        <v>0</v>
      </c>
      <c r="ET37">
        <v>0</v>
      </c>
      <c r="EU37">
        <v>0</v>
      </c>
      <c r="EV37">
        <v>108.75</v>
      </c>
      <c r="EW37">
        <v>0.24</v>
      </c>
      <c r="EX37">
        <v>0</v>
      </c>
      <c r="EY37">
        <v>0</v>
      </c>
      <c r="FQ37">
        <v>0</v>
      </c>
      <c r="FR37"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-2145585580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52"/>
        <v>0</v>
      </c>
      <c r="GM37">
        <f t="shared" si="53"/>
        <v>10179.49</v>
      </c>
      <c r="GN37">
        <f t="shared" si="54"/>
        <v>0</v>
      </c>
      <c r="GO37">
        <f t="shared" si="55"/>
        <v>0</v>
      </c>
      <c r="GP37">
        <f t="shared" si="56"/>
        <v>10179.49</v>
      </c>
      <c r="GR37">
        <v>0</v>
      </c>
      <c r="GS37">
        <v>3</v>
      </c>
      <c r="GT37">
        <v>0</v>
      </c>
      <c r="GU37" t="s">
        <v>3</v>
      </c>
      <c r="GV37">
        <f t="shared" si="57"/>
        <v>0</v>
      </c>
      <c r="GW37">
        <v>1</v>
      </c>
      <c r="GX37">
        <f t="shared" si="58"/>
        <v>0</v>
      </c>
      <c r="HA37">
        <v>0</v>
      </c>
      <c r="HB37">
        <v>0</v>
      </c>
      <c r="HC37">
        <f t="shared" si="59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HS37">
        <v>0</v>
      </c>
      <c r="IK37">
        <v>0</v>
      </c>
    </row>
    <row r="38" spans="1:245" x14ac:dyDescent="0.25">
      <c r="A38">
        <v>17</v>
      </c>
      <c r="B38">
        <v>1</v>
      </c>
      <c r="C38">
        <f>ROW(SmtRes!A7)</f>
        <v>7</v>
      </c>
      <c r="D38">
        <f>ROW(EtalonRes!A7)</f>
        <v>7</v>
      </c>
      <c r="E38" t="s">
        <v>49</v>
      </c>
      <c r="F38" t="s">
        <v>50</v>
      </c>
      <c r="G38" t="s">
        <v>51</v>
      </c>
      <c r="H38" t="s">
        <v>29</v>
      </c>
      <c r="I38">
        <v>7.16</v>
      </c>
      <c r="J38">
        <v>0</v>
      </c>
      <c r="K38">
        <v>7.16</v>
      </c>
      <c r="O38">
        <f t="shared" si="28"/>
        <v>183798.27</v>
      </c>
      <c r="P38">
        <f t="shared" si="29"/>
        <v>0</v>
      </c>
      <c r="Q38">
        <f t="shared" si="30"/>
        <v>0</v>
      </c>
      <c r="R38">
        <f t="shared" si="31"/>
        <v>0</v>
      </c>
      <c r="S38">
        <f t="shared" si="32"/>
        <v>183798.27</v>
      </c>
      <c r="T38">
        <f t="shared" si="33"/>
        <v>0</v>
      </c>
      <c r="U38">
        <f t="shared" si="34"/>
        <v>405.61399999999998</v>
      </c>
      <c r="V38">
        <f t="shared" si="35"/>
        <v>0</v>
      </c>
      <c r="W38">
        <f t="shared" si="36"/>
        <v>0</v>
      </c>
      <c r="X38">
        <f t="shared" si="37"/>
        <v>128658.79</v>
      </c>
      <c r="Y38">
        <f t="shared" si="38"/>
        <v>18379.830000000002</v>
      </c>
      <c r="AA38">
        <v>80890340</v>
      </c>
      <c r="AB38">
        <f t="shared" si="39"/>
        <v>25670.15</v>
      </c>
      <c r="AC38">
        <f>ROUND(((ES38*55)),6)</f>
        <v>0</v>
      </c>
      <c r="AD38">
        <f>ROUND(((((ET38*55))-((EU38*55)))+AE38),6)</f>
        <v>0</v>
      </c>
      <c r="AE38">
        <f>ROUND(((EU38*55)),6)</f>
        <v>0</v>
      </c>
      <c r="AF38">
        <f>ROUND(((EV38*55)),6)</f>
        <v>25670.15</v>
      </c>
      <c r="AG38">
        <f t="shared" si="40"/>
        <v>0</v>
      </c>
      <c r="AH38">
        <f>((EW38*55))</f>
        <v>56.65</v>
      </c>
      <c r="AI38">
        <f>((EX38*55))</f>
        <v>0</v>
      </c>
      <c r="AJ38">
        <f t="shared" si="41"/>
        <v>0</v>
      </c>
      <c r="AK38">
        <v>466.73</v>
      </c>
      <c r="AL38">
        <v>0</v>
      </c>
      <c r="AM38">
        <v>0</v>
      </c>
      <c r="AN38">
        <v>0</v>
      </c>
      <c r="AO38">
        <v>466.73</v>
      </c>
      <c r="AP38">
        <v>0</v>
      </c>
      <c r="AQ38">
        <v>1.03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52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2"/>
        <v>183798.27</v>
      </c>
      <c r="CQ38">
        <f t="shared" si="43"/>
        <v>0</v>
      </c>
      <c r="CR38">
        <f>(((((ET38*55))*BB38-((EU38*55))*BS38)+AE38*BS38)*AV38)</f>
        <v>0</v>
      </c>
      <c r="CS38">
        <f t="shared" si="44"/>
        <v>0</v>
      </c>
      <c r="CT38">
        <f t="shared" si="45"/>
        <v>25670.15</v>
      </c>
      <c r="CU38">
        <f t="shared" si="46"/>
        <v>0</v>
      </c>
      <c r="CV38">
        <f t="shared" si="47"/>
        <v>56.65</v>
      </c>
      <c r="CW38">
        <f t="shared" si="48"/>
        <v>0</v>
      </c>
      <c r="CX38">
        <f t="shared" si="49"/>
        <v>0</v>
      </c>
      <c r="CY38">
        <f t="shared" si="50"/>
        <v>128658.78899999999</v>
      </c>
      <c r="CZ38">
        <f t="shared" si="51"/>
        <v>18379.827000000001</v>
      </c>
      <c r="DC38" t="s">
        <v>3</v>
      </c>
      <c r="DD38" t="s">
        <v>22</v>
      </c>
      <c r="DE38" t="s">
        <v>22</v>
      </c>
      <c r="DF38" t="s">
        <v>22</v>
      </c>
      <c r="DG38" t="s">
        <v>22</v>
      </c>
      <c r="DH38" t="s">
        <v>3</v>
      </c>
      <c r="DI38" t="s">
        <v>22</v>
      </c>
      <c r="DJ38" t="s">
        <v>22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1005</v>
      </c>
      <c r="DV38" t="s">
        <v>29</v>
      </c>
      <c r="DW38" t="s">
        <v>29</v>
      </c>
      <c r="DX38">
        <v>100</v>
      </c>
      <c r="DZ38" t="s">
        <v>3</v>
      </c>
      <c r="EA38" t="s">
        <v>3</v>
      </c>
      <c r="EB38" t="s">
        <v>3</v>
      </c>
      <c r="EC38" t="s">
        <v>3</v>
      </c>
      <c r="EE38">
        <v>80196140</v>
      </c>
      <c r="EF38">
        <v>1</v>
      </c>
      <c r="EG38" t="s">
        <v>23</v>
      </c>
      <c r="EH38">
        <v>0</v>
      </c>
      <c r="EI38" t="s">
        <v>3</v>
      </c>
      <c r="EJ38">
        <v>4</v>
      </c>
      <c r="EK38">
        <v>0</v>
      </c>
      <c r="EL38" t="s">
        <v>24</v>
      </c>
      <c r="EM38" t="s">
        <v>25</v>
      </c>
      <c r="EO38" t="s">
        <v>3</v>
      </c>
      <c r="EQ38">
        <v>0</v>
      </c>
      <c r="ER38">
        <v>466.73</v>
      </c>
      <c r="ES38">
        <v>0</v>
      </c>
      <c r="ET38">
        <v>0</v>
      </c>
      <c r="EU38">
        <v>0</v>
      </c>
      <c r="EV38">
        <v>466.73</v>
      </c>
      <c r="EW38">
        <v>1.03</v>
      </c>
      <c r="EX38">
        <v>0</v>
      </c>
      <c r="EY38">
        <v>0</v>
      </c>
      <c r="FQ38">
        <v>0</v>
      </c>
      <c r="FR38"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1108519225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52"/>
        <v>0</v>
      </c>
      <c r="GM38">
        <f t="shared" si="53"/>
        <v>330836.89</v>
      </c>
      <c r="GN38">
        <f t="shared" si="54"/>
        <v>0</v>
      </c>
      <c r="GO38">
        <f t="shared" si="55"/>
        <v>0</v>
      </c>
      <c r="GP38">
        <f t="shared" si="56"/>
        <v>330836.89</v>
      </c>
      <c r="GR38">
        <v>0</v>
      </c>
      <c r="GS38">
        <v>3</v>
      </c>
      <c r="GT38">
        <v>0</v>
      </c>
      <c r="GU38" t="s">
        <v>3</v>
      </c>
      <c r="GV38">
        <f t="shared" si="57"/>
        <v>0</v>
      </c>
      <c r="GW38">
        <v>1</v>
      </c>
      <c r="GX38">
        <f t="shared" si="58"/>
        <v>0</v>
      </c>
      <c r="HA38">
        <v>0</v>
      </c>
      <c r="HB38">
        <v>0</v>
      </c>
      <c r="HC38">
        <f t="shared" si="59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HS38">
        <v>0</v>
      </c>
      <c r="IK38">
        <v>0</v>
      </c>
    </row>
    <row r="39" spans="1:245" x14ac:dyDescent="0.25">
      <c r="A39">
        <v>17</v>
      </c>
      <c r="B39">
        <v>1</v>
      </c>
      <c r="C39">
        <f>ROW(SmtRes!A9)</f>
        <v>9</v>
      </c>
      <c r="D39">
        <f>ROW(EtalonRes!A9)</f>
        <v>9</v>
      </c>
      <c r="E39" t="s">
        <v>53</v>
      </c>
      <c r="F39" t="s">
        <v>54</v>
      </c>
      <c r="G39" t="s">
        <v>55</v>
      </c>
      <c r="H39" t="s">
        <v>29</v>
      </c>
      <c r="I39">
        <v>163.66200000000001</v>
      </c>
      <c r="J39">
        <v>0</v>
      </c>
      <c r="K39">
        <v>163.66200000000001</v>
      </c>
      <c r="O39">
        <f t="shared" si="28"/>
        <v>1337642.26</v>
      </c>
      <c r="P39">
        <f t="shared" si="29"/>
        <v>670195.89</v>
      </c>
      <c r="Q39">
        <f t="shared" si="30"/>
        <v>0</v>
      </c>
      <c r="R39">
        <f t="shared" si="31"/>
        <v>0</v>
      </c>
      <c r="S39">
        <f t="shared" si="32"/>
        <v>667446.37</v>
      </c>
      <c r="T39">
        <f t="shared" si="33"/>
        <v>0</v>
      </c>
      <c r="U39">
        <f t="shared" si="34"/>
        <v>1472.9580000000001</v>
      </c>
      <c r="V39">
        <f t="shared" si="35"/>
        <v>0</v>
      </c>
      <c r="W39">
        <f t="shared" si="36"/>
        <v>0</v>
      </c>
      <c r="X39">
        <f t="shared" si="37"/>
        <v>467212.46</v>
      </c>
      <c r="Y39">
        <f t="shared" si="38"/>
        <v>66744.639999999999</v>
      </c>
      <c r="AA39">
        <v>80890340</v>
      </c>
      <c r="AB39">
        <f t="shared" si="39"/>
        <v>8173.2</v>
      </c>
      <c r="AC39">
        <f>ROUND(((ES39*30)),6)</f>
        <v>4095</v>
      </c>
      <c r="AD39">
        <f>ROUND(((((ET39*30))-((EU39*30)))+AE39),6)</f>
        <v>0</v>
      </c>
      <c r="AE39">
        <f>ROUND(((EU39*30)),6)</f>
        <v>0</v>
      </c>
      <c r="AF39">
        <f>ROUND(((EV39*30)),6)</f>
        <v>4078.2</v>
      </c>
      <c r="AG39">
        <f t="shared" si="40"/>
        <v>0</v>
      </c>
      <c r="AH39">
        <f>((EW39*30))</f>
        <v>9</v>
      </c>
      <c r="AI39">
        <f>((EX39*30))</f>
        <v>0</v>
      </c>
      <c r="AJ39">
        <f t="shared" si="41"/>
        <v>0</v>
      </c>
      <c r="AK39">
        <v>272.44</v>
      </c>
      <c r="AL39">
        <v>136.5</v>
      </c>
      <c r="AM39">
        <v>0</v>
      </c>
      <c r="AN39">
        <v>0</v>
      </c>
      <c r="AO39">
        <v>135.94</v>
      </c>
      <c r="AP39">
        <v>0</v>
      </c>
      <c r="AQ39">
        <v>0.3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56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2"/>
        <v>1337642.26</v>
      </c>
      <c r="CQ39">
        <f t="shared" si="43"/>
        <v>4095</v>
      </c>
      <c r="CR39">
        <f>(((((ET39*30))*BB39-((EU39*30))*BS39)+AE39*BS39)*AV39)</f>
        <v>0</v>
      </c>
      <c r="CS39">
        <f t="shared" si="44"/>
        <v>0</v>
      </c>
      <c r="CT39">
        <f t="shared" si="45"/>
        <v>4078.2</v>
      </c>
      <c r="CU39">
        <f t="shared" si="46"/>
        <v>0</v>
      </c>
      <c r="CV39">
        <f t="shared" si="47"/>
        <v>9</v>
      </c>
      <c r="CW39">
        <f t="shared" si="48"/>
        <v>0</v>
      </c>
      <c r="CX39">
        <f t="shared" si="49"/>
        <v>0</v>
      </c>
      <c r="CY39">
        <f t="shared" si="50"/>
        <v>467212.45899999997</v>
      </c>
      <c r="CZ39">
        <f t="shared" si="51"/>
        <v>66744.637000000002</v>
      </c>
      <c r="DC39" t="s">
        <v>3</v>
      </c>
      <c r="DD39" t="s">
        <v>57</v>
      </c>
      <c r="DE39" t="s">
        <v>57</v>
      </c>
      <c r="DF39" t="s">
        <v>57</v>
      </c>
      <c r="DG39" t="s">
        <v>57</v>
      </c>
      <c r="DH39" t="s">
        <v>3</v>
      </c>
      <c r="DI39" t="s">
        <v>57</v>
      </c>
      <c r="DJ39" t="s">
        <v>57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1005</v>
      </c>
      <c r="DV39" t="s">
        <v>29</v>
      </c>
      <c r="DW39" t="s">
        <v>29</v>
      </c>
      <c r="DX39">
        <v>100</v>
      </c>
      <c r="DZ39" t="s">
        <v>3</v>
      </c>
      <c r="EA39" t="s">
        <v>3</v>
      </c>
      <c r="EB39" t="s">
        <v>3</v>
      </c>
      <c r="EC39" t="s">
        <v>3</v>
      </c>
      <c r="EE39">
        <v>80196140</v>
      </c>
      <c r="EF39">
        <v>1</v>
      </c>
      <c r="EG39" t="s">
        <v>23</v>
      </c>
      <c r="EH39">
        <v>0</v>
      </c>
      <c r="EI39" t="s">
        <v>3</v>
      </c>
      <c r="EJ39">
        <v>4</v>
      </c>
      <c r="EK39">
        <v>0</v>
      </c>
      <c r="EL39" t="s">
        <v>24</v>
      </c>
      <c r="EM39" t="s">
        <v>25</v>
      </c>
      <c r="EO39" t="s">
        <v>3</v>
      </c>
      <c r="EQ39">
        <v>0</v>
      </c>
      <c r="ER39">
        <v>272.44</v>
      </c>
      <c r="ES39">
        <v>136.5</v>
      </c>
      <c r="ET39">
        <v>0</v>
      </c>
      <c r="EU39">
        <v>0</v>
      </c>
      <c r="EV39">
        <v>135.94</v>
      </c>
      <c r="EW39">
        <v>0.3</v>
      </c>
      <c r="EX39">
        <v>0</v>
      </c>
      <c r="EY39">
        <v>0</v>
      </c>
      <c r="FQ39">
        <v>0</v>
      </c>
      <c r="FR39"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-722105518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52"/>
        <v>0</v>
      </c>
      <c r="GM39">
        <f t="shared" si="53"/>
        <v>1871599.36</v>
      </c>
      <c r="GN39">
        <f t="shared" si="54"/>
        <v>0</v>
      </c>
      <c r="GO39">
        <f t="shared" si="55"/>
        <v>0</v>
      </c>
      <c r="GP39">
        <f t="shared" si="56"/>
        <v>1871599.36</v>
      </c>
      <c r="GR39">
        <v>0</v>
      </c>
      <c r="GS39">
        <v>3</v>
      </c>
      <c r="GT39">
        <v>0</v>
      </c>
      <c r="GU39" t="s">
        <v>3</v>
      </c>
      <c r="GV39">
        <f t="shared" si="57"/>
        <v>0</v>
      </c>
      <c r="GW39">
        <v>1</v>
      </c>
      <c r="GX39">
        <f t="shared" si="58"/>
        <v>0</v>
      </c>
      <c r="HA39">
        <v>0</v>
      </c>
      <c r="HB39">
        <v>0</v>
      </c>
      <c r="HC39">
        <f t="shared" si="59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HS39">
        <v>0</v>
      </c>
      <c r="IK39">
        <v>0</v>
      </c>
    </row>
    <row r="40" spans="1:245" x14ac:dyDescent="0.25">
      <c r="A40">
        <v>17</v>
      </c>
      <c r="B40">
        <v>1</v>
      </c>
      <c r="C40">
        <f>ROW(SmtRes!A12)</f>
        <v>12</v>
      </c>
      <c r="D40">
        <f>ROW(EtalonRes!A12)</f>
        <v>12</v>
      </c>
      <c r="E40" t="s">
        <v>58</v>
      </c>
      <c r="F40" t="s">
        <v>59</v>
      </c>
      <c r="G40" t="s">
        <v>60</v>
      </c>
      <c r="H40" t="s">
        <v>20</v>
      </c>
      <c r="I40">
        <v>65.464799999999997</v>
      </c>
      <c r="J40">
        <v>0</v>
      </c>
      <c r="K40">
        <v>65.464799999999997</v>
      </c>
      <c r="O40">
        <f t="shared" si="28"/>
        <v>3010961.82</v>
      </c>
      <c r="P40">
        <f t="shared" si="29"/>
        <v>2680783.56</v>
      </c>
      <c r="Q40">
        <f t="shared" si="30"/>
        <v>312384.93</v>
      </c>
      <c r="R40">
        <f t="shared" si="31"/>
        <v>131800.28</v>
      </c>
      <c r="S40">
        <f t="shared" si="32"/>
        <v>17793.330000000002</v>
      </c>
      <c r="T40">
        <f t="shared" si="33"/>
        <v>0</v>
      </c>
      <c r="U40">
        <f t="shared" si="34"/>
        <v>39.278879999999994</v>
      </c>
      <c r="V40">
        <f t="shared" si="35"/>
        <v>0</v>
      </c>
      <c r="W40">
        <f t="shared" si="36"/>
        <v>0</v>
      </c>
      <c r="X40">
        <f t="shared" si="37"/>
        <v>12455.33</v>
      </c>
      <c r="Y40">
        <f t="shared" si="38"/>
        <v>1779.33</v>
      </c>
      <c r="AA40">
        <v>80890340</v>
      </c>
      <c r="AB40">
        <f t="shared" si="39"/>
        <v>45993.599999999999</v>
      </c>
      <c r="AC40">
        <f>ROUND(((ES40*30)),6)</f>
        <v>40950</v>
      </c>
      <c r="AD40">
        <f>ROUND(((((ET40*30))-((EU40*30)))+AE40),6)</f>
        <v>4771.8</v>
      </c>
      <c r="AE40">
        <f>ROUND(((EU40*30)),6)</f>
        <v>2013.3</v>
      </c>
      <c r="AF40">
        <f>ROUND(((EV40*30)),6)</f>
        <v>271.8</v>
      </c>
      <c r="AG40">
        <f t="shared" si="40"/>
        <v>0</v>
      </c>
      <c r="AH40">
        <f>((EW40*30))</f>
        <v>0.6</v>
      </c>
      <c r="AI40">
        <f>((EX40*30))</f>
        <v>0</v>
      </c>
      <c r="AJ40">
        <f t="shared" si="41"/>
        <v>0</v>
      </c>
      <c r="AK40">
        <v>1533.12</v>
      </c>
      <c r="AL40">
        <v>1365</v>
      </c>
      <c r="AM40">
        <v>159.06</v>
      </c>
      <c r="AN40">
        <v>67.11</v>
      </c>
      <c r="AO40">
        <v>9.06</v>
      </c>
      <c r="AP40">
        <v>0</v>
      </c>
      <c r="AQ40">
        <v>0.02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61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2"/>
        <v>3010961.8200000003</v>
      </c>
      <c r="CQ40">
        <f t="shared" si="43"/>
        <v>40950</v>
      </c>
      <c r="CR40">
        <f>(((((ET40*30))*BB40-((EU40*30))*BS40)+AE40*BS40)*AV40)</f>
        <v>4771.8</v>
      </c>
      <c r="CS40">
        <f t="shared" si="44"/>
        <v>2013.3</v>
      </c>
      <c r="CT40">
        <f t="shared" si="45"/>
        <v>271.8</v>
      </c>
      <c r="CU40">
        <f t="shared" si="46"/>
        <v>0</v>
      </c>
      <c r="CV40">
        <f t="shared" si="47"/>
        <v>0.6</v>
      </c>
      <c r="CW40">
        <f t="shared" si="48"/>
        <v>0</v>
      </c>
      <c r="CX40">
        <f t="shared" si="49"/>
        <v>0</v>
      </c>
      <c r="CY40">
        <f t="shared" si="50"/>
        <v>12455.331</v>
      </c>
      <c r="CZ40">
        <f t="shared" si="51"/>
        <v>1779.3330000000001</v>
      </c>
      <c r="DC40" t="s">
        <v>3</v>
      </c>
      <c r="DD40" t="s">
        <v>57</v>
      </c>
      <c r="DE40" t="s">
        <v>57</v>
      </c>
      <c r="DF40" t="s">
        <v>57</v>
      </c>
      <c r="DG40" t="s">
        <v>57</v>
      </c>
      <c r="DH40" t="s">
        <v>3</v>
      </c>
      <c r="DI40" t="s">
        <v>57</v>
      </c>
      <c r="DJ40" t="s">
        <v>57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1005</v>
      </c>
      <c r="DV40" t="s">
        <v>20</v>
      </c>
      <c r="DW40" t="s">
        <v>20</v>
      </c>
      <c r="DX40">
        <v>1000</v>
      </c>
      <c r="DZ40" t="s">
        <v>3</v>
      </c>
      <c r="EA40" t="s">
        <v>3</v>
      </c>
      <c r="EB40" t="s">
        <v>3</v>
      </c>
      <c r="EC40" t="s">
        <v>3</v>
      </c>
      <c r="EE40">
        <v>80196140</v>
      </c>
      <c r="EF40">
        <v>1</v>
      </c>
      <c r="EG40" t="s">
        <v>23</v>
      </c>
      <c r="EH40">
        <v>0</v>
      </c>
      <c r="EI40" t="s">
        <v>3</v>
      </c>
      <c r="EJ40">
        <v>4</v>
      </c>
      <c r="EK40">
        <v>0</v>
      </c>
      <c r="EL40" t="s">
        <v>24</v>
      </c>
      <c r="EM40" t="s">
        <v>25</v>
      </c>
      <c r="EO40" t="s">
        <v>3</v>
      </c>
      <c r="EQ40">
        <v>0</v>
      </c>
      <c r="ER40">
        <v>1533.12</v>
      </c>
      <c r="ES40">
        <v>1365</v>
      </c>
      <c r="ET40">
        <v>159.06</v>
      </c>
      <c r="EU40">
        <v>67.11</v>
      </c>
      <c r="EV40">
        <v>9.06</v>
      </c>
      <c r="EW40">
        <v>0.02</v>
      </c>
      <c r="EX40">
        <v>0</v>
      </c>
      <c r="EY40">
        <v>0</v>
      </c>
      <c r="FQ40">
        <v>0</v>
      </c>
      <c r="FR40"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-905148242</v>
      </c>
      <c r="GG40">
        <v>2</v>
      </c>
      <c r="GH40">
        <v>1</v>
      </c>
      <c r="GI40">
        <v>-2</v>
      </c>
      <c r="GJ40">
        <v>0</v>
      </c>
      <c r="GK40">
        <f>ROUND(R40*(R12)/100,2)</f>
        <v>142344.29999999999</v>
      </c>
      <c r="GL40">
        <f t="shared" si="52"/>
        <v>0</v>
      </c>
      <c r="GM40">
        <f t="shared" si="53"/>
        <v>3167540.78</v>
      </c>
      <c r="GN40">
        <f t="shared" si="54"/>
        <v>0</v>
      </c>
      <c r="GO40">
        <f t="shared" si="55"/>
        <v>0</v>
      </c>
      <c r="GP40">
        <f t="shared" si="56"/>
        <v>3167540.78</v>
      </c>
      <c r="GR40">
        <v>0</v>
      </c>
      <c r="GS40">
        <v>3</v>
      </c>
      <c r="GT40">
        <v>0</v>
      </c>
      <c r="GU40" t="s">
        <v>3</v>
      </c>
      <c r="GV40">
        <f t="shared" si="57"/>
        <v>0</v>
      </c>
      <c r="GW40">
        <v>1</v>
      </c>
      <c r="GX40">
        <f t="shared" si="58"/>
        <v>0</v>
      </c>
      <c r="HA40">
        <v>0</v>
      </c>
      <c r="HB40">
        <v>0</v>
      </c>
      <c r="HC40">
        <f t="shared" si="59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HS40">
        <v>0</v>
      </c>
      <c r="IK40">
        <v>0</v>
      </c>
    </row>
    <row r="41" spans="1:245" x14ac:dyDescent="0.25">
      <c r="A41">
        <v>17</v>
      </c>
      <c r="B41">
        <v>1</v>
      </c>
      <c r="C41">
        <f>ROW(SmtRes!A13)</f>
        <v>13</v>
      </c>
      <c r="D41">
        <f>ROW(EtalonRes!A13)</f>
        <v>13</v>
      </c>
      <c r="E41" t="s">
        <v>62</v>
      </c>
      <c r="F41" t="s">
        <v>63</v>
      </c>
      <c r="G41" t="s">
        <v>64</v>
      </c>
      <c r="H41" t="s">
        <v>29</v>
      </c>
      <c r="I41">
        <v>8.1830999999999996</v>
      </c>
      <c r="J41">
        <v>0</v>
      </c>
      <c r="K41">
        <v>8.1830999999999996</v>
      </c>
      <c r="O41">
        <f t="shared" si="28"/>
        <v>178730.36</v>
      </c>
      <c r="P41">
        <f t="shared" si="29"/>
        <v>0</v>
      </c>
      <c r="Q41">
        <f t="shared" si="30"/>
        <v>0</v>
      </c>
      <c r="R41">
        <f t="shared" si="31"/>
        <v>0</v>
      </c>
      <c r="S41">
        <f t="shared" si="32"/>
        <v>178730.36</v>
      </c>
      <c r="T41">
        <f t="shared" si="33"/>
        <v>0</v>
      </c>
      <c r="U41">
        <f t="shared" si="34"/>
        <v>394.42542000000003</v>
      </c>
      <c r="V41">
        <f t="shared" si="35"/>
        <v>0</v>
      </c>
      <c r="W41">
        <f t="shared" si="36"/>
        <v>0</v>
      </c>
      <c r="X41">
        <f t="shared" si="37"/>
        <v>125111.25</v>
      </c>
      <c r="Y41">
        <f t="shared" si="38"/>
        <v>17873.04</v>
      </c>
      <c r="AA41">
        <v>80890340</v>
      </c>
      <c r="AB41">
        <f t="shared" si="39"/>
        <v>21841.4</v>
      </c>
      <c r="AC41">
        <f>ROUND(((ES41*20)),6)</f>
        <v>0</v>
      </c>
      <c r="AD41">
        <f>ROUND(((((ET41*20))-((EU41*20)))+AE41),6)</f>
        <v>0</v>
      </c>
      <c r="AE41">
        <f>ROUND(((EU41*20)),6)</f>
        <v>0</v>
      </c>
      <c r="AF41">
        <f>ROUND(((EV41*20)),6)</f>
        <v>21841.4</v>
      </c>
      <c r="AG41">
        <f t="shared" si="40"/>
        <v>0</v>
      </c>
      <c r="AH41">
        <f>((EW41*20))</f>
        <v>48.2</v>
      </c>
      <c r="AI41">
        <f>((EX41*20))</f>
        <v>0</v>
      </c>
      <c r="AJ41">
        <f t="shared" si="41"/>
        <v>0</v>
      </c>
      <c r="AK41">
        <v>1092.07</v>
      </c>
      <c r="AL41">
        <v>0</v>
      </c>
      <c r="AM41">
        <v>0</v>
      </c>
      <c r="AN41">
        <v>0</v>
      </c>
      <c r="AO41">
        <v>1092.07</v>
      </c>
      <c r="AP41">
        <v>0</v>
      </c>
      <c r="AQ41">
        <v>2.41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65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2"/>
        <v>178730.36</v>
      </c>
      <c r="CQ41">
        <f t="shared" si="43"/>
        <v>0</v>
      </c>
      <c r="CR41">
        <f>(((((ET41*20))*BB41-((EU41*20))*BS41)+AE41*BS41)*AV41)</f>
        <v>0</v>
      </c>
      <c r="CS41">
        <f t="shared" si="44"/>
        <v>0</v>
      </c>
      <c r="CT41">
        <f t="shared" si="45"/>
        <v>21841.4</v>
      </c>
      <c r="CU41">
        <f t="shared" si="46"/>
        <v>0</v>
      </c>
      <c r="CV41">
        <f t="shared" si="47"/>
        <v>48.2</v>
      </c>
      <c r="CW41">
        <f t="shared" si="48"/>
        <v>0</v>
      </c>
      <c r="CX41">
        <f t="shared" si="49"/>
        <v>0</v>
      </c>
      <c r="CY41">
        <f t="shared" si="50"/>
        <v>125111.25199999999</v>
      </c>
      <c r="CZ41">
        <f t="shared" si="51"/>
        <v>17873.036</v>
      </c>
      <c r="DC41" t="s">
        <v>3</v>
      </c>
      <c r="DD41" t="s">
        <v>66</v>
      </c>
      <c r="DE41" t="s">
        <v>66</v>
      </c>
      <c r="DF41" t="s">
        <v>66</v>
      </c>
      <c r="DG41" t="s">
        <v>66</v>
      </c>
      <c r="DH41" t="s">
        <v>3</v>
      </c>
      <c r="DI41" t="s">
        <v>66</v>
      </c>
      <c r="DJ41" t="s">
        <v>66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1005</v>
      </c>
      <c r="DV41" t="s">
        <v>29</v>
      </c>
      <c r="DW41" t="s">
        <v>29</v>
      </c>
      <c r="DX41">
        <v>100</v>
      </c>
      <c r="DZ41" t="s">
        <v>3</v>
      </c>
      <c r="EA41" t="s">
        <v>3</v>
      </c>
      <c r="EB41" t="s">
        <v>3</v>
      </c>
      <c r="EC41" t="s">
        <v>3</v>
      </c>
      <c r="EE41">
        <v>80196140</v>
      </c>
      <c r="EF41">
        <v>1</v>
      </c>
      <c r="EG41" t="s">
        <v>23</v>
      </c>
      <c r="EH41">
        <v>0</v>
      </c>
      <c r="EI41" t="s">
        <v>3</v>
      </c>
      <c r="EJ41">
        <v>4</v>
      </c>
      <c r="EK41">
        <v>0</v>
      </c>
      <c r="EL41" t="s">
        <v>24</v>
      </c>
      <c r="EM41" t="s">
        <v>25</v>
      </c>
      <c r="EO41" t="s">
        <v>3</v>
      </c>
      <c r="EQ41">
        <v>0</v>
      </c>
      <c r="ER41">
        <v>1092.07</v>
      </c>
      <c r="ES41">
        <v>0</v>
      </c>
      <c r="ET41">
        <v>0</v>
      </c>
      <c r="EU41">
        <v>0</v>
      </c>
      <c r="EV41">
        <v>1092.07</v>
      </c>
      <c r="EW41">
        <v>2.41</v>
      </c>
      <c r="EX41">
        <v>0</v>
      </c>
      <c r="EY41">
        <v>0</v>
      </c>
      <c r="FQ41">
        <v>0</v>
      </c>
      <c r="FR41"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1681224467</v>
      </c>
      <c r="GG41">
        <v>2</v>
      </c>
      <c r="GH41">
        <v>1</v>
      </c>
      <c r="GI41">
        <v>-2</v>
      </c>
      <c r="GJ41">
        <v>0</v>
      </c>
      <c r="GK41">
        <f>ROUND(R41*(R12)/100,2)</f>
        <v>0</v>
      </c>
      <c r="GL41">
        <f t="shared" si="52"/>
        <v>0</v>
      </c>
      <c r="GM41">
        <f t="shared" si="53"/>
        <v>321714.65000000002</v>
      </c>
      <c r="GN41">
        <f t="shared" si="54"/>
        <v>0</v>
      </c>
      <c r="GO41">
        <f t="shared" si="55"/>
        <v>0</v>
      </c>
      <c r="GP41">
        <f t="shared" si="56"/>
        <v>321714.65000000002</v>
      </c>
      <c r="GR41">
        <v>0</v>
      </c>
      <c r="GS41">
        <v>3</v>
      </c>
      <c r="GT41">
        <v>0</v>
      </c>
      <c r="GU41" t="s">
        <v>3</v>
      </c>
      <c r="GV41">
        <f t="shared" si="57"/>
        <v>0</v>
      </c>
      <c r="GW41">
        <v>1</v>
      </c>
      <c r="GX41">
        <f t="shared" si="58"/>
        <v>0</v>
      </c>
      <c r="HA41">
        <v>0</v>
      </c>
      <c r="HB41">
        <v>0</v>
      </c>
      <c r="HC41">
        <f t="shared" si="59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HS41">
        <v>0</v>
      </c>
      <c r="IK41">
        <v>0</v>
      </c>
    </row>
    <row r="42" spans="1:245" x14ac:dyDescent="0.25">
      <c r="A42">
        <v>17</v>
      </c>
      <c r="B42">
        <v>1</v>
      </c>
      <c r="C42">
        <f>ROW(SmtRes!A15)</f>
        <v>15</v>
      </c>
      <c r="D42">
        <f>ROW(EtalonRes!A15)</f>
        <v>15</v>
      </c>
      <c r="E42" t="s">
        <v>67</v>
      </c>
      <c r="F42" t="s">
        <v>68</v>
      </c>
      <c r="G42" t="s">
        <v>69</v>
      </c>
      <c r="H42" t="s">
        <v>39</v>
      </c>
      <c r="I42">
        <v>14729.58</v>
      </c>
      <c r="J42">
        <v>0</v>
      </c>
      <c r="K42">
        <v>14729.58</v>
      </c>
      <c r="O42">
        <f t="shared" si="28"/>
        <v>12971751.92</v>
      </c>
      <c r="P42">
        <f t="shared" si="29"/>
        <v>0</v>
      </c>
      <c r="Q42">
        <f t="shared" si="30"/>
        <v>10502190.539999999</v>
      </c>
      <c r="R42">
        <f t="shared" si="31"/>
        <v>5151817.9000000004</v>
      </c>
      <c r="S42">
        <f t="shared" si="32"/>
        <v>2469561.38</v>
      </c>
      <c r="T42">
        <f t="shared" si="33"/>
        <v>0</v>
      </c>
      <c r="U42">
        <f t="shared" si="34"/>
        <v>5449.9445999999998</v>
      </c>
      <c r="V42">
        <f t="shared" si="35"/>
        <v>0</v>
      </c>
      <c r="W42">
        <f t="shared" si="36"/>
        <v>0</v>
      </c>
      <c r="X42">
        <f t="shared" si="37"/>
        <v>1728692.97</v>
      </c>
      <c r="Y42">
        <f t="shared" si="38"/>
        <v>246956.14</v>
      </c>
      <c r="AA42">
        <v>80890340</v>
      </c>
      <c r="AB42">
        <f t="shared" si="39"/>
        <v>880.66</v>
      </c>
      <c r="AC42">
        <f>ROUND((ES42),6)</f>
        <v>0</v>
      </c>
      <c r="AD42">
        <f>ROUND((((ET42)-(EU42))+AE42),6)</f>
        <v>713</v>
      </c>
      <c r="AE42">
        <f>ROUND((EU42),6)</f>
        <v>349.76</v>
      </c>
      <c r="AF42">
        <f>ROUND((EV42),6)</f>
        <v>167.66</v>
      </c>
      <c r="AG42">
        <f t="shared" si="40"/>
        <v>0</v>
      </c>
      <c r="AH42">
        <f>(EW42)</f>
        <v>0.37</v>
      </c>
      <c r="AI42">
        <f>(EX42)</f>
        <v>0</v>
      </c>
      <c r="AJ42">
        <f t="shared" si="41"/>
        <v>0</v>
      </c>
      <c r="AK42">
        <v>880.66</v>
      </c>
      <c r="AL42">
        <v>0</v>
      </c>
      <c r="AM42">
        <v>713</v>
      </c>
      <c r="AN42">
        <v>349.76</v>
      </c>
      <c r="AO42">
        <v>167.66</v>
      </c>
      <c r="AP42">
        <v>0</v>
      </c>
      <c r="AQ42">
        <v>0.37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70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2"/>
        <v>12971751.919999998</v>
      </c>
      <c r="CQ42">
        <f t="shared" si="43"/>
        <v>0</v>
      </c>
      <c r="CR42">
        <f>((((ET42)*BB42-(EU42)*BS42)+AE42*BS42)*AV42)</f>
        <v>713</v>
      </c>
      <c r="CS42">
        <f t="shared" si="44"/>
        <v>349.76</v>
      </c>
      <c r="CT42">
        <f t="shared" si="45"/>
        <v>167.66</v>
      </c>
      <c r="CU42">
        <f t="shared" si="46"/>
        <v>0</v>
      </c>
      <c r="CV42">
        <f t="shared" si="47"/>
        <v>0.37</v>
      </c>
      <c r="CW42">
        <f t="shared" si="48"/>
        <v>0</v>
      </c>
      <c r="CX42">
        <f t="shared" si="49"/>
        <v>0</v>
      </c>
      <c r="CY42">
        <f t="shared" si="50"/>
        <v>1728692.966</v>
      </c>
      <c r="CZ42">
        <f t="shared" si="51"/>
        <v>246956.13799999998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1007</v>
      </c>
      <c r="DV42" t="s">
        <v>39</v>
      </c>
      <c r="DW42" t="s">
        <v>39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80196140</v>
      </c>
      <c r="EF42">
        <v>1</v>
      </c>
      <c r="EG42" t="s">
        <v>23</v>
      </c>
      <c r="EH42">
        <v>0</v>
      </c>
      <c r="EI42" t="s">
        <v>3</v>
      </c>
      <c r="EJ42">
        <v>4</v>
      </c>
      <c r="EK42">
        <v>0</v>
      </c>
      <c r="EL42" t="s">
        <v>24</v>
      </c>
      <c r="EM42" t="s">
        <v>25</v>
      </c>
      <c r="EO42" t="s">
        <v>3</v>
      </c>
      <c r="EQ42">
        <v>0</v>
      </c>
      <c r="ER42">
        <v>880.66</v>
      </c>
      <c r="ES42">
        <v>0</v>
      </c>
      <c r="ET42">
        <v>713</v>
      </c>
      <c r="EU42">
        <v>349.76</v>
      </c>
      <c r="EV42">
        <v>167.66</v>
      </c>
      <c r="EW42">
        <v>0.37</v>
      </c>
      <c r="EX42">
        <v>0</v>
      </c>
      <c r="EY42">
        <v>0</v>
      </c>
      <c r="FQ42">
        <v>0</v>
      </c>
      <c r="FR42"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-730330233</v>
      </c>
      <c r="GG42">
        <v>2</v>
      </c>
      <c r="GH42">
        <v>1</v>
      </c>
      <c r="GI42">
        <v>-2</v>
      </c>
      <c r="GJ42">
        <v>0</v>
      </c>
      <c r="GK42">
        <f>ROUND(R42*(R12)/100,2)</f>
        <v>5563963.3300000001</v>
      </c>
      <c r="GL42">
        <f t="shared" si="52"/>
        <v>0</v>
      </c>
      <c r="GM42">
        <f t="shared" si="53"/>
        <v>20511364.359999999</v>
      </c>
      <c r="GN42">
        <f t="shared" si="54"/>
        <v>0</v>
      </c>
      <c r="GO42">
        <f t="shared" si="55"/>
        <v>0</v>
      </c>
      <c r="GP42">
        <f t="shared" si="56"/>
        <v>20511364.359999999</v>
      </c>
      <c r="GR42">
        <v>0</v>
      </c>
      <c r="GS42">
        <v>3</v>
      </c>
      <c r="GT42">
        <v>0</v>
      </c>
      <c r="GU42" t="s">
        <v>3</v>
      </c>
      <c r="GV42">
        <f t="shared" si="57"/>
        <v>0</v>
      </c>
      <c r="GW42">
        <v>1</v>
      </c>
      <c r="GX42">
        <f t="shared" si="58"/>
        <v>0</v>
      </c>
      <c r="HA42">
        <v>0</v>
      </c>
      <c r="HB42">
        <v>0</v>
      </c>
      <c r="HC42">
        <f t="shared" si="59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HS42">
        <v>0</v>
      </c>
      <c r="IK42">
        <v>0</v>
      </c>
    </row>
    <row r="43" spans="1:245" x14ac:dyDescent="0.25">
      <c r="A43">
        <v>17</v>
      </c>
      <c r="B43">
        <v>1</v>
      </c>
      <c r="C43">
        <f>ROW(SmtRes!A16)</f>
        <v>16</v>
      </c>
      <c r="D43">
        <f>ROW(EtalonRes!A16)</f>
        <v>16</v>
      </c>
      <c r="E43" t="s">
        <v>71</v>
      </c>
      <c r="F43" t="s">
        <v>72</v>
      </c>
      <c r="G43" t="s">
        <v>73</v>
      </c>
      <c r="H43" t="s">
        <v>39</v>
      </c>
      <c r="I43">
        <v>14729.58</v>
      </c>
      <c r="J43">
        <v>0</v>
      </c>
      <c r="K43">
        <v>14729.58</v>
      </c>
      <c r="O43">
        <f t="shared" si="28"/>
        <v>2780060.93</v>
      </c>
      <c r="P43">
        <f t="shared" si="29"/>
        <v>0</v>
      </c>
      <c r="Q43">
        <f t="shared" si="30"/>
        <v>2780060.93</v>
      </c>
      <c r="R43">
        <f t="shared" si="31"/>
        <v>1363664.52</v>
      </c>
      <c r="S43">
        <f t="shared" si="32"/>
        <v>0</v>
      </c>
      <c r="T43">
        <f t="shared" si="33"/>
        <v>0</v>
      </c>
      <c r="U43">
        <f t="shared" si="34"/>
        <v>0</v>
      </c>
      <c r="V43">
        <f t="shared" si="35"/>
        <v>0</v>
      </c>
      <c r="W43">
        <f t="shared" si="36"/>
        <v>0</v>
      </c>
      <c r="X43">
        <f t="shared" si="37"/>
        <v>0</v>
      </c>
      <c r="Y43">
        <f t="shared" si="38"/>
        <v>0</v>
      </c>
      <c r="AA43">
        <v>80890340</v>
      </c>
      <c r="AB43">
        <f t="shared" si="39"/>
        <v>188.74</v>
      </c>
      <c r="AC43">
        <f>ROUND((ES43),6)</f>
        <v>0</v>
      </c>
      <c r="AD43">
        <f>ROUND((((ET43)-(EU43))+AE43),6)</f>
        <v>188.74</v>
      </c>
      <c r="AE43">
        <f>ROUND((EU43),6)</f>
        <v>92.58</v>
      </c>
      <c r="AF43">
        <f>ROUND((EV43),6)</f>
        <v>0</v>
      </c>
      <c r="AG43">
        <f t="shared" si="40"/>
        <v>0</v>
      </c>
      <c r="AH43">
        <f>(EW43)</f>
        <v>0</v>
      </c>
      <c r="AI43">
        <f>(EX43)</f>
        <v>0</v>
      </c>
      <c r="AJ43">
        <f t="shared" si="41"/>
        <v>0</v>
      </c>
      <c r="AK43">
        <v>188.74</v>
      </c>
      <c r="AL43">
        <v>0</v>
      </c>
      <c r="AM43">
        <v>188.74</v>
      </c>
      <c r="AN43">
        <v>92.58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70</v>
      </c>
      <c r="AU43">
        <v>10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4</v>
      </c>
      <c r="BJ43" t="s">
        <v>74</v>
      </c>
      <c r="BM43">
        <v>0</v>
      </c>
      <c r="BN43">
        <v>0</v>
      </c>
      <c r="BO43" t="s">
        <v>3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10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2"/>
        <v>2780060.93</v>
      </c>
      <c r="CQ43">
        <f t="shared" si="43"/>
        <v>0</v>
      </c>
      <c r="CR43">
        <f>((((ET43)*BB43-(EU43)*BS43)+AE43*BS43)*AV43)</f>
        <v>188.74</v>
      </c>
      <c r="CS43">
        <f t="shared" si="44"/>
        <v>92.58</v>
      </c>
      <c r="CT43">
        <f t="shared" si="45"/>
        <v>0</v>
      </c>
      <c r="CU43">
        <f t="shared" si="46"/>
        <v>0</v>
      </c>
      <c r="CV43">
        <f t="shared" si="47"/>
        <v>0</v>
      </c>
      <c r="CW43">
        <f t="shared" si="48"/>
        <v>0</v>
      </c>
      <c r="CX43">
        <f t="shared" si="49"/>
        <v>0</v>
      </c>
      <c r="CY43">
        <f t="shared" si="50"/>
        <v>0</v>
      </c>
      <c r="CZ43">
        <f t="shared" si="51"/>
        <v>0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1007</v>
      </c>
      <c r="DV43" t="s">
        <v>39</v>
      </c>
      <c r="DW43" t="s">
        <v>39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80196140</v>
      </c>
      <c r="EF43">
        <v>1</v>
      </c>
      <c r="EG43" t="s">
        <v>23</v>
      </c>
      <c r="EH43">
        <v>0</v>
      </c>
      <c r="EI43" t="s">
        <v>3</v>
      </c>
      <c r="EJ43">
        <v>4</v>
      </c>
      <c r="EK43">
        <v>0</v>
      </c>
      <c r="EL43" t="s">
        <v>24</v>
      </c>
      <c r="EM43" t="s">
        <v>25</v>
      </c>
      <c r="EO43" t="s">
        <v>3</v>
      </c>
      <c r="EQ43">
        <v>0</v>
      </c>
      <c r="ER43">
        <v>188.74</v>
      </c>
      <c r="ES43">
        <v>0</v>
      </c>
      <c r="ET43">
        <v>188.74</v>
      </c>
      <c r="EU43">
        <v>92.58</v>
      </c>
      <c r="EV43">
        <v>0</v>
      </c>
      <c r="EW43">
        <v>0</v>
      </c>
      <c r="EX43">
        <v>0</v>
      </c>
      <c r="EY43">
        <v>0</v>
      </c>
      <c r="FQ43">
        <v>0</v>
      </c>
      <c r="FR43">
        <v>0</v>
      </c>
      <c r="FS43">
        <v>0</v>
      </c>
      <c r="FX43">
        <v>70</v>
      </c>
      <c r="FY43">
        <v>10</v>
      </c>
      <c r="GA43" t="s">
        <v>3</v>
      </c>
      <c r="GD43">
        <v>0</v>
      </c>
      <c r="GF43">
        <v>-290731089</v>
      </c>
      <c r="GG43">
        <v>2</v>
      </c>
      <c r="GH43">
        <v>1</v>
      </c>
      <c r="GI43">
        <v>-2</v>
      </c>
      <c r="GJ43">
        <v>0</v>
      </c>
      <c r="GK43">
        <f>ROUND(R43*(R12)/100,2)</f>
        <v>1472757.68</v>
      </c>
      <c r="GL43">
        <f t="shared" si="52"/>
        <v>0</v>
      </c>
      <c r="GM43">
        <f t="shared" si="53"/>
        <v>4252818.6100000003</v>
      </c>
      <c r="GN43">
        <f t="shared" si="54"/>
        <v>0</v>
      </c>
      <c r="GO43">
        <f t="shared" si="55"/>
        <v>0</v>
      </c>
      <c r="GP43">
        <f t="shared" si="56"/>
        <v>4252818.6100000003</v>
      </c>
      <c r="GR43">
        <v>0</v>
      </c>
      <c r="GS43">
        <v>3</v>
      </c>
      <c r="GT43">
        <v>0</v>
      </c>
      <c r="GU43" t="s">
        <v>3</v>
      </c>
      <c r="GV43">
        <f t="shared" si="57"/>
        <v>0</v>
      </c>
      <c r="GW43">
        <v>1</v>
      </c>
      <c r="GX43">
        <f t="shared" si="58"/>
        <v>0</v>
      </c>
      <c r="HA43">
        <v>0</v>
      </c>
      <c r="HB43">
        <v>0</v>
      </c>
      <c r="HC43">
        <f t="shared" si="59"/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HS43">
        <v>0</v>
      </c>
      <c r="IK43">
        <v>0</v>
      </c>
    </row>
    <row r="44" spans="1:245" x14ac:dyDescent="0.25">
      <c r="A44">
        <v>17</v>
      </c>
      <c r="B44">
        <v>1</v>
      </c>
      <c r="C44">
        <f>ROW(SmtRes!A17)</f>
        <v>17</v>
      </c>
      <c r="D44">
        <f>ROW(EtalonRes!A17)</f>
        <v>17</v>
      </c>
      <c r="E44" t="s">
        <v>75</v>
      </c>
      <c r="F44" t="s">
        <v>76</v>
      </c>
      <c r="G44" t="s">
        <v>77</v>
      </c>
      <c r="H44" t="s">
        <v>29</v>
      </c>
      <c r="I44">
        <v>0.67079999999999995</v>
      </c>
      <c r="J44">
        <v>0</v>
      </c>
      <c r="K44">
        <v>0.67079999999999995</v>
      </c>
      <c r="O44">
        <f t="shared" si="28"/>
        <v>18791.150000000001</v>
      </c>
      <c r="P44">
        <f t="shared" si="29"/>
        <v>0</v>
      </c>
      <c r="Q44">
        <f t="shared" si="30"/>
        <v>0</v>
      </c>
      <c r="R44">
        <f t="shared" si="31"/>
        <v>0</v>
      </c>
      <c r="S44">
        <f t="shared" si="32"/>
        <v>18791.150000000001</v>
      </c>
      <c r="T44">
        <f t="shared" si="33"/>
        <v>0</v>
      </c>
      <c r="U44">
        <f t="shared" si="34"/>
        <v>41.468855999999995</v>
      </c>
      <c r="V44">
        <f t="shared" si="35"/>
        <v>0</v>
      </c>
      <c r="W44">
        <f t="shared" si="36"/>
        <v>0</v>
      </c>
      <c r="X44">
        <f t="shared" si="37"/>
        <v>13153.81</v>
      </c>
      <c r="Y44">
        <f t="shared" si="38"/>
        <v>1879.12</v>
      </c>
      <c r="AA44">
        <v>80890340</v>
      </c>
      <c r="AB44">
        <f t="shared" si="39"/>
        <v>28013.040000000001</v>
      </c>
      <c r="AC44">
        <f>ROUND(((ES44*22)),6)</f>
        <v>0</v>
      </c>
      <c r="AD44">
        <f>ROUND(((((ET44*22))-((EU44*22)))+AE44),6)</f>
        <v>0</v>
      </c>
      <c r="AE44">
        <f>ROUND(((EU44*22)),6)</f>
        <v>0</v>
      </c>
      <c r="AF44">
        <f>ROUND(((EV44*22)),6)</f>
        <v>28013.040000000001</v>
      </c>
      <c r="AG44">
        <f t="shared" si="40"/>
        <v>0</v>
      </c>
      <c r="AH44">
        <f>((EW44*22))</f>
        <v>61.82</v>
      </c>
      <c r="AI44">
        <f>((EX44*22))</f>
        <v>0</v>
      </c>
      <c r="AJ44">
        <f t="shared" si="41"/>
        <v>0</v>
      </c>
      <c r="AK44">
        <v>1273.32</v>
      </c>
      <c r="AL44">
        <v>0</v>
      </c>
      <c r="AM44">
        <v>0</v>
      </c>
      <c r="AN44">
        <v>0</v>
      </c>
      <c r="AO44">
        <v>1273.32</v>
      </c>
      <c r="AP44">
        <v>0</v>
      </c>
      <c r="AQ44">
        <v>2.81</v>
      </c>
      <c r="AR44">
        <v>0</v>
      </c>
      <c r="AS44">
        <v>0</v>
      </c>
      <c r="AT44">
        <v>70</v>
      </c>
      <c r="AU44">
        <v>10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4</v>
      </c>
      <c r="BJ44" t="s">
        <v>78</v>
      </c>
      <c r="BM44">
        <v>0</v>
      </c>
      <c r="BN44">
        <v>0</v>
      </c>
      <c r="BO44" t="s">
        <v>3</v>
      </c>
      <c r="BP44">
        <v>0</v>
      </c>
      <c r="BQ44">
        <v>1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70</v>
      </c>
      <c r="CA44">
        <v>10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2"/>
        <v>18791.150000000001</v>
      </c>
      <c r="CQ44">
        <f t="shared" si="43"/>
        <v>0</v>
      </c>
      <c r="CR44">
        <f>(((((ET44*22))*BB44-((EU44*22))*BS44)+AE44*BS44)*AV44)</f>
        <v>0</v>
      </c>
      <c r="CS44">
        <f t="shared" si="44"/>
        <v>0</v>
      </c>
      <c r="CT44">
        <f t="shared" si="45"/>
        <v>28013.040000000001</v>
      </c>
      <c r="CU44">
        <f t="shared" si="46"/>
        <v>0</v>
      </c>
      <c r="CV44">
        <f t="shared" si="47"/>
        <v>61.82</v>
      </c>
      <c r="CW44">
        <f t="shared" si="48"/>
        <v>0</v>
      </c>
      <c r="CX44">
        <f t="shared" si="49"/>
        <v>0</v>
      </c>
      <c r="CY44">
        <f t="shared" si="50"/>
        <v>13153.805</v>
      </c>
      <c r="CZ44">
        <f t="shared" si="51"/>
        <v>1879.115</v>
      </c>
      <c r="DC44" t="s">
        <v>3</v>
      </c>
      <c r="DD44" t="s">
        <v>79</v>
      </c>
      <c r="DE44" t="s">
        <v>79</v>
      </c>
      <c r="DF44" t="s">
        <v>79</v>
      </c>
      <c r="DG44" t="s">
        <v>79</v>
      </c>
      <c r="DH44" t="s">
        <v>3</v>
      </c>
      <c r="DI44" t="s">
        <v>79</v>
      </c>
      <c r="DJ44" t="s">
        <v>79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1005</v>
      </c>
      <c r="DV44" t="s">
        <v>29</v>
      </c>
      <c r="DW44" t="s">
        <v>29</v>
      </c>
      <c r="DX44">
        <v>100</v>
      </c>
      <c r="DZ44" t="s">
        <v>3</v>
      </c>
      <c r="EA44" t="s">
        <v>3</v>
      </c>
      <c r="EB44" t="s">
        <v>3</v>
      </c>
      <c r="EC44" t="s">
        <v>3</v>
      </c>
      <c r="EE44">
        <v>80196140</v>
      </c>
      <c r="EF44">
        <v>1</v>
      </c>
      <c r="EG44" t="s">
        <v>23</v>
      </c>
      <c r="EH44">
        <v>0</v>
      </c>
      <c r="EI44" t="s">
        <v>3</v>
      </c>
      <c r="EJ44">
        <v>4</v>
      </c>
      <c r="EK44">
        <v>0</v>
      </c>
      <c r="EL44" t="s">
        <v>24</v>
      </c>
      <c r="EM44" t="s">
        <v>25</v>
      </c>
      <c r="EO44" t="s">
        <v>3</v>
      </c>
      <c r="EQ44">
        <v>0</v>
      </c>
      <c r="ER44">
        <v>1273.32</v>
      </c>
      <c r="ES44">
        <v>0</v>
      </c>
      <c r="ET44">
        <v>0</v>
      </c>
      <c r="EU44">
        <v>0</v>
      </c>
      <c r="EV44">
        <v>1273.32</v>
      </c>
      <c r="EW44">
        <v>2.81</v>
      </c>
      <c r="EX44">
        <v>0</v>
      </c>
      <c r="EY44">
        <v>0</v>
      </c>
      <c r="FQ44">
        <v>0</v>
      </c>
      <c r="FR44">
        <v>0</v>
      </c>
      <c r="FS44">
        <v>0</v>
      </c>
      <c r="FX44">
        <v>70</v>
      </c>
      <c r="FY44">
        <v>10</v>
      </c>
      <c r="GA44" t="s">
        <v>3</v>
      </c>
      <c r="GD44">
        <v>0</v>
      </c>
      <c r="GF44">
        <v>311426849</v>
      </c>
      <c r="GG44">
        <v>2</v>
      </c>
      <c r="GH44">
        <v>1</v>
      </c>
      <c r="GI44">
        <v>-2</v>
      </c>
      <c r="GJ44">
        <v>0</v>
      </c>
      <c r="GK44">
        <f>ROUND(R44*(R12)/100,2)</f>
        <v>0</v>
      </c>
      <c r="GL44">
        <f t="shared" si="52"/>
        <v>0</v>
      </c>
      <c r="GM44">
        <f t="shared" si="53"/>
        <v>33824.080000000002</v>
      </c>
      <c r="GN44">
        <f t="shared" si="54"/>
        <v>0</v>
      </c>
      <c r="GO44">
        <f t="shared" si="55"/>
        <v>0</v>
      </c>
      <c r="GP44">
        <f t="shared" si="56"/>
        <v>33824.080000000002</v>
      </c>
      <c r="GR44">
        <v>0</v>
      </c>
      <c r="GS44">
        <v>3</v>
      </c>
      <c r="GT44">
        <v>0</v>
      </c>
      <c r="GU44" t="s">
        <v>3</v>
      </c>
      <c r="GV44">
        <f t="shared" si="57"/>
        <v>0</v>
      </c>
      <c r="GW44">
        <v>1</v>
      </c>
      <c r="GX44">
        <f t="shared" si="58"/>
        <v>0</v>
      </c>
      <c r="HA44">
        <v>0</v>
      </c>
      <c r="HB44">
        <v>0</v>
      </c>
      <c r="HC44">
        <f t="shared" si="59"/>
        <v>0</v>
      </c>
      <c r="HE44" t="s">
        <v>3</v>
      </c>
      <c r="HF44" t="s">
        <v>3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HS44">
        <v>0</v>
      </c>
      <c r="IK44">
        <v>0</v>
      </c>
    </row>
    <row r="45" spans="1:245" x14ac:dyDescent="0.25">
      <c r="A45">
        <v>17</v>
      </c>
      <c r="B45">
        <v>1</v>
      </c>
      <c r="C45">
        <f>ROW(SmtRes!A19)</f>
        <v>19</v>
      </c>
      <c r="D45">
        <f>ROW(EtalonRes!A19)</f>
        <v>19</v>
      </c>
      <c r="E45" t="s">
        <v>80</v>
      </c>
      <c r="F45" t="s">
        <v>81</v>
      </c>
      <c r="G45" t="s">
        <v>82</v>
      </c>
      <c r="H45" t="s">
        <v>83</v>
      </c>
      <c r="I45">
        <v>0.34</v>
      </c>
      <c r="J45">
        <v>0</v>
      </c>
      <c r="K45">
        <v>0.34</v>
      </c>
      <c r="O45">
        <f t="shared" si="28"/>
        <v>77157.429999999993</v>
      </c>
      <c r="P45">
        <f t="shared" si="29"/>
        <v>15521</v>
      </c>
      <c r="Q45">
        <f t="shared" si="30"/>
        <v>0</v>
      </c>
      <c r="R45">
        <f t="shared" si="31"/>
        <v>0</v>
      </c>
      <c r="S45">
        <f t="shared" si="32"/>
        <v>61636.43</v>
      </c>
      <c r="T45">
        <f t="shared" si="33"/>
        <v>0</v>
      </c>
      <c r="U45">
        <f t="shared" si="34"/>
        <v>136.02040000000002</v>
      </c>
      <c r="V45">
        <f t="shared" si="35"/>
        <v>0</v>
      </c>
      <c r="W45">
        <f t="shared" si="36"/>
        <v>0</v>
      </c>
      <c r="X45">
        <f t="shared" si="37"/>
        <v>43145.5</v>
      </c>
      <c r="Y45">
        <f t="shared" si="38"/>
        <v>6163.64</v>
      </c>
      <c r="AA45">
        <v>80890340</v>
      </c>
      <c r="AB45">
        <f t="shared" si="39"/>
        <v>226933.62</v>
      </c>
      <c r="AC45">
        <f>ROUND(((ES45*166)),6)</f>
        <v>45650</v>
      </c>
      <c r="AD45">
        <f>ROUND(((((ET45*166))-((EU45*166)))+AE45),6)</f>
        <v>0</v>
      </c>
      <c r="AE45">
        <f>ROUND(((EU45*166)),6)</f>
        <v>0</v>
      </c>
      <c r="AF45">
        <f>ROUND(((EV45*166)),6)</f>
        <v>181283.62</v>
      </c>
      <c r="AG45">
        <f t="shared" si="40"/>
        <v>0</v>
      </c>
      <c r="AH45">
        <f>((EW45*166))</f>
        <v>400.06</v>
      </c>
      <c r="AI45">
        <f>((EX45*166))</f>
        <v>0</v>
      </c>
      <c r="AJ45">
        <f t="shared" si="41"/>
        <v>0</v>
      </c>
      <c r="AK45">
        <v>1367.07</v>
      </c>
      <c r="AL45">
        <v>275</v>
      </c>
      <c r="AM45">
        <v>0</v>
      </c>
      <c r="AN45">
        <v>0</v>
      </c>
      <c r="AO45">
        <v>1092.07</v>
      </c>
      <c r="AP45">
        <v>0</v>
      </c>
      <c r="AQ45">
        <v>2.41</v>
      </c>
      <c r="AR45">
        <v>0</v>
      </c>
      <c r="AS45">
        <v>0</v>
      </c>
      <c r="AT45">
        <v>70</v>
      </c>
      <c r="AU45">
        <v>10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4</v>
      </c>
      <c r="BJ45" t="s">
        <v>84</v>
      </c>
      <c r="BM45">
        <v>0</v>
      </c>
      <c r="BN45">
        <v>0</v>
      </c>
      <c r="BO45" t="s">
        <v>3</v>
      </c>
      <c r="BP45">
        <v>0</v>
      </c>
      <c r="BQ45">
        <v>1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70</v>
      </c>
      <c r="CA45">
        <v>10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42"/>
        <v>77157.429999999993</v>
      </c>
      <c r="CQ45">
        <f t="shared" si="43"/>
        <v>45650</v>
      </c>
      <c r="CR45">
        <f>(((((ET45*166))*BB45-((EU45*166))*BS45)+AE45*BS45)*AV45)</f>
        <v>0</v>
      </c>
      <c r="CS45">
        <f t="shared" si="44"/>
        <v>0</v>
      </c>
      <c r="CT45">
        <f t="shared" si="45"/>
        <v>181283.62</v>
      </c>
      <c r="CU45">
        <f t="shared" si="46"/>
        <v>0</v>
      </c>
      <c r="CV45">
        <f t="shared" si="47"/>
        <v>400.06</v>
      </c>
      <c r="CW45">
        <f t="shared" si="48"/>
        <v>0</v>
      </c>
      <c r="CX45">
        <f t="shared" si="49"/>
        <v>0</v>
      </c>
      <c r="CY45">
        <f t="shared" si="50"/>
        <v>43145.500999999997</v>
      </c>
      <c r="CZ45">
        <f t="shared" si="51"/>
        <v>6163.643</v>
      </c>
      <c r="DC45" t="s">
        <v>3</v>
      </c>
      <c r="DD45" t="s">
        <v>85</v>
      </c>
      <c r="DE45" t="s">
        <v>85</v>
      </c>
      <c r="DF45" t="s">
        <v>85</v>
      </c>
      <c r="DG45" t="s">
        <v>85</v>
      </c>
      <c r="DH45" t="s">
        <v>3</v>
      </c>
      <c r="DI45" t="s">
        <v>85</v>
      </c>
      <c r="DJ45" t="s">
        <v>85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1010</v>
      </c>
      <c r="DV45" t="s">
        <v>83</v>
      </c>
      <c r="DW45" t="s">
        <v>83</v>
      </c>
      <c r="DX45">
        <v>100</v>
      </c>
      <c r="DZ45" t="s">
        <v>3</v>
      </c>
      <c r="EA45" t="s">
        <v>3</v>
      </c>
      <c r="EB45" t="s">
        <v>3</v>
      </c>
      <c r="EC45" t="s">
        <v>3</v>
      </c>
      <c r="EE45">
        <v>80196140</v>
      </c>
      <c r="EF45">
        <v>1</v>
      </c>
      <c r="EG45" t="s">
        <v>23</v>
      </c>
      <c r="EH45">
        <v>0</v>
      </c>
      <c r="EI45" t="s">
        <v>3</v>
      </c>
      <c r="EJ45">
        <v>4</v>
      </c>
      <c r="EK45">
        <v>0</v>
      </c>
      <c r="EL45" t="s">
        <v>24</v>
      </c>
      <c r="EM45" t="s">
        <v>25</v>
      </c>
      <c r="EO45" t="s">
        <v>3</v>
      </c>
      <c r="EQ45">
        <v>0</v>
      </c>
      <c r="ER45">
        <v>1367.07</v>
      </c>
      <c r="ES45">
        <v>275</v>
      </c>
      <c r="ET45">
        <v>0</v>
      </c>
      <c r="EU45">
        <v>0</v>
      </c>
      <c r="EV45">
        <v>1092.07</v>
      </c>
      <c r="EW45">
        <v>2.41</v>
      </c>
      <c r="EX45">
        <v>0</v>
      </c>
      <c r="EY45">
        <v>0</v>
      </c>
      <c r="FQ45">
        <v>0</v>
      </c>
      <c r="FR45">
        <v>0</v>
      </c>
      <c r="FS45">
        <v>0</v>
      </c>
      <c r="FX45">
        <v>70</v>
      </c>
      <c r="FY45">
        <v>10</v>
      </c>
      <c r="GA45" t="s">
        <v>3</v>
      </c>
      <c r="GD45">
        <v>0</v>
      </c>
      <c r="GF45">
        <v>1968377727</v>
      </c>
      <c r="GG45">
        <v>2</v>
      </c>
      <c r="GH45">
        <v>1</v>
      </c>
      <c r="GI45">
        <v>-2</v>
      </c>
      <c r="GJ45">
        <v>0</v>
      </c>
      <c r="GK45">
        <f>ROUND(R45*(R12)/100,2)</f>
        <v>0</v>
      </c>
      <c r="GL45">
        <f t="shared" si="52"/>
        <v>0</v>
      </c>
      <c r="GM45">
        <f t="shared" si="53"/>
        <v>126466.57</v>
      </c>
      <c r="GN45">
        <f t="shared" si="54"/>
        <v>0</v>
      </c>
      <c r="GO45">
        <f t="shared" si="55"/>
        <v>0</v>
      </c>
      <c r="GP45">
        <f t="shared" si="56"/>
        <v>126466.57</v>
      </c>
      <c r="GR45">
        <v>0</v>
      </c>
      <c r="GS45">
        <v>3</v>
      </c>
      <c r="GT45">
        <v>0</v>
      </c>
      <c r="GU45" t="s">
        <v>3</v>
      </c>
      <c r="GV45">
        <f t="shared" si="57"/>
        <v>0</v>
      </c>
      <c r="GW45">
        <v>1</v>
      </c>
      <c r="GX45">
        <f t="shared" si="58"/>
        <v>0</v>
      </c>
      <c r="HA45">
        <v>0</v>
      </c>
      <c r="HB45">
        <v>0</v>
      </c>
      <c r="HC45">
        <f t="shared" si="59"/>
        <v>0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HS45">
        <v>0</v>
      </c>
      <c r="IK45">
        <v>0</v>
      </c>
    </row>
    <row r="46" spans="1:245" x14ac:dyDescent="0.25">
      <c r="A46">
        <v>17</v>
      </c>
      <c r="B46">
        <v>1</v>
      </c>
      <c r="C46">
        <f>ROW(SmtRes!A20)</f>
        <v>20</v>
      </c>
      <c r="D46">
        <f>ROW(EtalonRes!A20)</f>
        <v>20</v>
      </c>
      <c r="E46" t="s">
        <v>86</v>
      </c>
      <c r="F46" t="s">
        <v>87</v>
      </c>
      <c r="G46" t="s">
        <v>88</v>
      </c>
      <c r="H46" t="s">
        <v>39</v>
      </c>
      <c r="I46">
        <v>2537.4299999999998</v>
      </c>
      <c r="J46">
        <v>0</v>
      </c>
      <c r="K46">
        <v>2537.4299999999998</v>
      </c>
      <c r="O46">
        <f t="shared" si="28"/>
        <v>264450.95</v>
      </c>
      <c r="P46">
        <f t="shared" si="29"/>
        <v>0</v>
      </c>
      <c r="Q46">
        <f t="shared" si="30"/>
        <v>0</v>
      </c>
      <c r="R46">
        <f t="shared" si="31"/>
        <v>0</v>
      </c>
      <c r="S46">
        <f t="shared" si="32"/>
        <v>264450.95</v>
      </c>
      <c r="T46">
        <f t="shared" si="33"/>
        <v>0</v>
      </c>
      <c r="U46">
        <f t="shared" si="34"/>
        <v>583.60889999999995</v>
      </c>
      <c r="V46">
        <f t="shared" si="35"/>
        <v>0</v>
      </c>
      <c r="W46">
        <f t="shared" si="36"/>
        <v>0</v>
      </c>
      <c r="X46">
        <f t="shared" si="37"/>
        <v>185115.67</v>
      </c>
      <c r="Y46">
        <f t="shared" si="38"/>
        <v>26445.1</v>
      </c>
      <c r="AA46">
        <v>80890340</v>
      </c>
      <c r="AB46">
        <f t="shared" si="39"/>
        <v>104.22</v>
      </c>
      <c r="AC46">
        <f>ROUND((ES46),6)</f>
        <v>0</v>
      </c>
      <c r="AD46">
        <f>ROUND((((ET46)-(EU46))+AE46),6)</f>
        <v>0</v>
      </c>
      <c r="AE46">
        <f>ROUND((EU46),6)</f>
        <v>0</v>
      </c>
      <c r="AF46">
        <f>ROUND((EV46),6)</f>
        <v>104.22</v>
      </c>
      <c r="AG46">
        <f t="shared" si="40"/>
        <v>0</v>
      </c>
      <c r="AH46">
        <f>(EW46)</f>
        <v>0.23</v>
      </c>
      <c r="AI46">
        <f>(EX46)</f>
        <v>0</v>
      </c>
      <c r="AJ46">
        <f t="shared" si="41"/>
        <v>0</v>
      </c>
      <c r="AK46">
        <v>104.22</v>
      </c>
      <c r="AL46">
        <v>0</v>
      </c>
      <c r="AM46">
        <v>0</v>
      </c>
      <c r="AN46">
        <v>0</v>
      </c>
      <c r="AO46">
        <v>104.22</v>
      </c>
      <c r="AP46">
        <v>0</v>
      </c>
      <c r="AQ46">
        <v>0.23</v>
      </c>
      <c r="AR46">
        <v>0</v>
      </c>
      <c r="AS46">
        <v>0</v>
      </c>
      <c r="AT46">
        <v>70</v>
      </c>
      <c r="AU46">
        <v>10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4</v>
      </c>
      <c r="BJ46" t="s">
        <v>89</v>
      </c>
      <c r="BM46">
        <v>0</v>
      </c>
      <c r="BN46">
        <v>0</v>
      </c>
      <c r="BO46" t="s">
        <v>3</v>
      </c>
      <c r="BP46">
        <v>0</v>
      </c>
      <c r="BQ46">
        <v>1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70</v>
      </c>
      <c r="CA46">
        <v>10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2"/>
        <v>264450.95</v>
      </c>
      <c r="CQ46">
        <f t="shared" si="43"/>
        <v>0</v>
      </c>
      <c r="CR46">
        <f>((((ET46)*BB46-(EU46)*BS46)+AE46*BS46)*AV46)</f>
        <v>0</v>
      </c>
      <c r="CS46">
        <f t="shared" si="44"/>
        <v>0</v>
      </c>
      <c r="CT46">
        <f t="shared" si="45"/>
        <v>104.22</v>
      </c>
      <c r="CU46">
        <f t="shared" si="46"/>
        <v>0</v>
      </c>
      <c r="CV46">
        <f t="shared" si="47"/>
        <v>0.23</v>
      </c>
      <c r="CW46">
        <f t="shared" si="48"/>
        <v>0</v>
      </c>
      <c r="CX46">
        <f t="shared" si="49"/>
        <v>0</v>
      </c>
      <c r="CY46">
        <f t="shared" si="50"/>
        <v>185115.66500000001</v>
      </c>
      <c r="CZ46">
        <f t="shared" si="51"/>
        <v>26445.095000000001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1007</v>
      </c>
      <c r="DV46" t="s">
        <v>39</v>
      </c>
      <c r="DW46" t="s">
        <v>39</v>
      </c>
      <c r="DX46">
        <v>1</v>
      </c>
      <c r="DZ46" t="s">
        <v>3</v>
      </c>
      <c r="EA46" t="s">
        <v>3</v>
      </c>
      <c r="EB46" t="s">
        <v>3</v>
      </c>
      <c r="EC46" t="s">
        <v>3</v>
      </c>
      <c r="EE46">
        <v>80196140</v>
      </c>
      <c r="EF46">
        <v>1</v>
      </c>
      <c r="EG46" t="s">
        <v>23</v>
      </c>
      <c r="EH46">
        <v>0</v>
      </c>
      <c r="EI46" t="s">
        <v>3</v>
      </c>
      <c r="EJ46">
        <v>4</v>
      </c>
      <c r="EK46">
        <v>0</v>
      </c>
      <c r="EL46" t="s">
        <v>24</v>
      </c>
      <c r="EM46" t="s">
        <v>25</v>
      </c>
      <c r="EO46" t="s">
        <v>3</v>
      </c>
      <c r="EQ46">
        <v>0</v>
      </c>
      <c r="ER46">
        <v>104.22</v>
      </c>
      <c r="ES46">
        <v>0</v>
      </c>
      <c r="ET46">
        <v>0</v>
      </c>
      <c r="EU46">
        <v>0</v>
      </c>
      <c r="EV46">
        <v>104.22</v>
      </c>
      <c r="EW46">
        <v>0.23</v>
      </c>
      <c r="EX46">
        <v>0</v>
      </c>
      <c r="EY46">
        <v>0</v>
      </c>
      <c r="FQ46">
        <v>0</v>
      </c>
      <c r="FR46">
        <v>0</v>
      </c>
      <c r="FS46">
        <v>0</v>
      </c>
      <c r="FX46">
        <v>70</v>
      </c>
      <c r="FY46">
        <v>10</v>
      </c>
      <c r="GA46" t="s">
        <v>3</v>
      </c>
      <c r="GD46">
        <v>0</v>
      </c>
      <c r="GF46">
        <v>-315017045</v>
      </c>
      <c r="GG46">
        <v>2</v>
      </c>
      <c r="GH46">
        <v>1</v>
      </c>
      <c r="GI46">
        <v>-2</v>
      </c>
      <c r="GJ46">
        <v>0</v>
      </c>
      <c r="GK46">
        <f>ROUND(R46*(R12)/100,2)</f>
        <v>0</v>
      </c>
      <c r="GL46">
        <f t="shared" si="52"/>
        <v>0</v>
      </c>
      <c r="GM46">
        <f t="shared" si="53"/>
        <v>476011.72</v>
      </c>
      <c r="GN46">
        <f t="shared" si="54"/>
        <v>0</v>
      </c>
      <c r="GO46">
        <f t="shared" si="55"/>
        <v>0</v>
      </c>
      <c r="GP46">
        <f t="shared" si="56"/>
        <v>476011.72</v>
      </c>
      <c r="GR46">
        <v>0</v>
      </c>
      <c r="GS46">
        <v>3</v>
      </c>
      <c r="GT46">
        <v>0</v>
      </c>
      <c r="GU46" t="s">
        <v>3</v>
      </c>
      <c r="GV46">
        <f t="shared" si="57"/>
        <v>0</v>
      </c>
      <c r="GW46">
        <v>1</v>
      </c>
      <c r="GX46">
        <f t="shared" si="58"/>
        <v>0</v>
      </c>
      <c r="HA46">
        <v>0</v>
      </c>
      <c r="HB46">
        <v>0</v>
      </c>
      <c r="HC46">
        <f t="shared" si="59"/>
        <v>0</v>
      </c>
      <c r="HE46" t="s">
        <v>3</v>
      </c>
      <c r="HF46" t="s">
        <v>3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HS46">
        <v>0</v>
      </c>
      <c r="IK46">
        <v>0</v>
      </c>
    </row>
    <row r="47" spans="1:245" x14ac:dyDescent="0.25">
      <c r="A47">
        <v>17</v>
      </c>
      <c r="B47">
        <v>1</v>
      </c>
      <c r="C47">
        <f>ROW(SmtRes!A21)</f>
        <v>21</v>
      </c>
      <c r="D47">
        <f>ROW(EtalonRes!A21)</f>
        <v>21</v>
      </c>
      <c r="E47" t="s">
        <v>90</v>
      </c>
      <c r="F47" t="s">
        <v>91</v>
      </c>
      <c r="G47" t="s">
        <v>92</v>
      </c>
      <c r="H47" t="s">
        <v>29</v>
      </c>
      <c r="I47">
        <v>0.3</v>
      </c>
      <c r="J47">
        <v>0</v>
      </c>
      <c r="K47">
        <v>0.3</v>
      </c>
      <c r="O47">
        <f t="shared" si="28"/>
        <v>69729.960000000006</v>
      </c>
      <c r="P47">
        <f t="shared" si="29"/>
        <v>0</v>
      </c>
      <c r="Q47">
        <f t="shared" si="30"/>
        <v>0</v>
      </c>
      <c r="R47">
        <f t="shared" si="31"/>
        <v>0</v>
      </c>
      <c r="S47">
        <f t="shared" si="32"/>
        <v>69729.960000000006</v>
      </c>
      <c r="T47">
        <f t="shared" si="33"/>
        <v>0</v>
      </c>
      <c r="U47">
        <f t="shared" si="34"/>
        <v>153.88199999999998</v>
      </c>
      <c r="V47">
        <f t="shared" si="35"/>
        <v>0</v>
      </c>
      <c r="W47">
        <f t="shared" si="36"/>
        <v>0</v>
      </c>
      <c r="X47">
        <f t="shared" si="37"/>
        <v>48810.97</v>
      </c>
      <c r="Y47">
        <f t="shared" si="38"/>
        <v>6973</v>
      </c>
      <c r="AA47">
        <v>80890340</v>
      </c>
      <c r="AB47">
        <f t="shared" si="39"/>
        <v>232433.2</v>
      </c>
      <c r="AC47">
        <f>ROUND(((ES47*166)),6)</f>
        <v>0</v>
      </c>
      <c r="AD47">
        <f>ROUND(((((ET47*166))-((EU47*166)))+AE47),6)</f>
        <v>0</v>
      </c>
      <c r="AE47">
        <f>ROUND(((EU47*166)),6)</f>
        <v>0</v>
      </c>
      <c r="AF47">
        <f>ROUND(((EV47*166)),6)</f>
        <v>232433.2</v>
      </c>
      <c r="AG47">
        <f t="shared" si="40"/>
        <v>0</v>
      </c>
      <c r="AH47">
        <f>((EW47*166))</f>
        <v>512.93999999999994</v>
      </c>
      <c r="AI47">
        <f>((EX47*166))</f>
        <v>0</v>
      </c>
      <c r="AJ47">
        <f t="shared" si="41"/>
        <v>0</v>
      </c>
      <c r="AK47">
        <v>1400.2</v>
      </c>
      <c r="AL47">
        <v>0</v>
      </c>
      <c r="AM47">
        <v>0</v>
      </c>
      <c r="AN47">
        <v>0</v>
      </c>
      <c r="AO47">
        <v>1400.2</v>
      </c>
      <c r="AP47">
        <v>0</v>
      </c>
      <c r="AQ47">
        <v>3.09</v>
      </c>
      <c r="AR47">
        <v>0</v>
      </c>
      <c r="AS47">
        <v>0</v>
      </c>
      <c r="AT47">
        <v>70</v>
      </c>
      <c r="AU47">
        <v>10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4</v>
      </c>
      <c r="BJ47" t="s">
        <v>93</v>
      </c>
      <c r="BM47">
        <v>0</v>
      </c>
      <c r="BN47">
        <v>0</v>
      </c>
      <c r="BO47" t="s">
        <v>3</v>
      </c>
      <c r="BP47">
        <v>0</v>
      </c>
      <c r="BQ47">
        <v>1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70</v>
      </c>
      <c r="CA47">
        <v>10</v>
      </c>
      <c r="CB47" t="s">
        <v>3</v>
      </c>
      <c r="CE47">
        <v>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42"/>
        <v>69729.960000000006</v>
      </c>
      <c r="CQ47">
        <f t="shared" si="43"/>
        <v>0</v>
      </c>
      <c r="CR47">
        <f>(((((ET47*166))*BB47-((EU47*166))*BS47)+AE47*BS47)*AV47)</f>
        <v>0</v>
      </c>
      <c r="CS47">
        <f t="shared" si="44"/>
        <v>0</v>
      </c>
      <c r="CT47">
        <f t="shared" si="45"/>
        <v>232433.2</v>
      </c>
      <c r="CU47">
        <f t="shared" si="46"/>
        <v>0</v>
      </c>
      <c r="CV47">
        <f t="shared" si="47"/>
        <v>512.93999999999994</v>
      </c>
      <c r="CW47">
        <f t="shared" si="48"/>
        <v>0</v>
      </c>
      <c r="CX47">
        <f t="shared" si="49"/>
        <v>0</v>
      </c>
      <c r="CY47">
        <f t="shared" si="50"/>
        <v>48810.972000000002</v>
      </c>
      <c r="CZ47">
        <f t="shared" si="51"/>
        <v>6972.996000000001</v>
      </c>
      <c r="DC47" t="s">
        <v>3</v>
      </c>
      <c r="DD47" t="s">
        <v>85</v>
      </c>
      <c r="DE47" t="s">
        <v>85</v>
      </c>
      <c r="DF47" t="s">
        <v>85</v>
      </c>
      <c r="DG47" t="s">
        <v>85</v>
      </c>
      <c r="DH47" t="s">
        <v>3</v>
      </c>
      <c r="DI47" t="s">
        <v>85</v>
      </c>
      <c r="DJ47" t="s">
        <v>85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1005</v>
      </c>
      <c r="DV47" t="s">
        <v>29</v>
      </c>
      <c r="DW47" t="s">
        <v>29</v>
      </c>
      <c r="DX47">
        <v>100</v>
      </c>
      <c r="DZ47" t="s">
        <v>3</v>
      </c>
      <c r="EA47" t="s">
        <v>3</v>
      </c>
      <c r="EB47" t="s">
        <v>3</v>
      </c>
      <c r="EC47" t="s">
        <v>3</v>
      </c>
      <c r="EE47">
        <v>80196140</v>
      </c>
      <c r="EF47">
        <v>1</v>
      </c>
      <c r="EG47" t="s">
        <v>23</v>
      </c>
      <c r="EH47">
        <v>0</v>
      </c>
      <c r="EI47" t="s">
        <v>3</v>
      </c>
      <c r="EJ47">
        <v>4</v>
      </c>
      <c r="EK47">
        <v>0</v>
      </c>
      <c r="EL47" t="s">
        <v>24</v>
      </c>
      <c r="EM47" t="s">
        <v>25</v>
      </c>
      <c r="EO47" t="s">
        <v>3</v>
      </c>
      <c r="EQ47">
        <v>0</v>
      </c>
      <c r="ER47">
        <v>1400.2</v>
      </c>
      <c r="ES47">
        <v>0</v>
      </c>
      <c r="ET47">
        <v>0</v>
      </c>
      <c r="EU47">
        <v>0</v>
      </c>
      <c r="EV47">
        <v>1400.2</v>
      </c>
      <c r="EW47">
        <v>3.09</v>
      </c>
      <c r="EX47">
        <v>0</v>
      </c>
      <c r="EY47">
        <v>0</v>
      </c>
      <c r="FQ47">
        <v>0</v>
      </c>
      <c r="FR47">
        <v>0</v>
      </c>
      <c r="FS47">
        <v>0</v>
      </c>
      <c r="FX47">
        <v>70</v>
      </c>
      <c r="FY47">
        <v>10</v>
      </c>
      <c r="GA47" t="s">
        <v>3</v>
      </c>
      <c r="GD47">
        <v>0</v>
      </c>
      <c r="GF47">
        <v>1003354648</v>
      </c>
      <c r="GG47">
        <v>2</v>
      </c>
      <c r="GH47">
        <v>1</v>
      </c>
      <c r="GI47">
        <v>-2</v>
      </c>
      <c r="GJ47">
        <v>0</v>
      </c>
      <c r="GK47">
        <f>ROUND(R47*(R12)/100,2)</f>
        <v>0</v>
      </c>
      <c r="GL47">
        <f t="shared" si="52"/>
        <v>0</v>
      </c>
      <c r="GM47">
        <f t="shared" si="53"/>
        <v>125513.93</v>
      </c>
      <c r="GN47">
        <f t="shared" si="54"/>
        <v>0</v>
      </c>
      <c r="GO47">
        <f t="shared" si="55"/>
        <v>0</v>
      </c>
      <c r="GP47">
        <f t="shared" si="56"/>
        <v>125513.93</v>
      </c>
      <c r="GR47">
        <v>0</v>
      </c>
      <c r="GS47">
        <v>3</v>
      </c>
      <c r="GT47">
        <v>0</v>
      </c>
      <c r="GU47" t="s">
        <v>3</v>
      </c>
      <c r="GV47">
        <f t="shared" si="57"/>
        <v>0</v>
      </c>
      <c r="GW47">
        <v>1</v>
      </c>
      <c r="GX47">
        <f t="shared" si="58"/>
        <v>0</v>
      </c>
      <c r="HA47">
        <v>0</v>
      </c>
      <c r="HB47">
        <v>0</v>
      </c>
      <c r="HC47">
        <f t="shared" si="59"/>
        <v>0</v>
      </c>
      <c r="HE47" t="s">
        <v>3</v>
      </c>
      <c r="HF47" t="s">
        <v>3</v>
      </c>
      <c r="HM47" t="s">
        <v>3</v>
      </c>
      <c r="HN47" t="s">
        <v>3</v>
      </c>
      <c r="HO47" t="s">
        <v>3</v>
      </c>
      <c r="HP47" t="s">
        <v>3</v>
      </c>
      <c r="HQ47" t="s">
        <v>3</v>
      </c>
      <c r="HS47">
        <v>0</v>
      </c>
      <c r="IK47">
        <v>0</v>
      </c>
    </row>
    <row r="49" spans="1:206" ht="13" x14ac:dyDescent="0.3">
      <c r="A49" s="2">
        <v>51</v>
      </c>
      <c r="B49" s="2">
        <f>B28</f>
        <v>1</v>
      </c>
      <c r="C49" s="2">
        <f>A28</f>
        <v>5</v>
      </c>
      <c r="D49" s="2">
        <f>ROW(A28)</f>
        <v>28</v>
      </c>
      <c r="E49" s="2"/>
      <c r="F49" s="2" t="str">
        <f>IF(F28&lt;&gt;"",F28,"")</f>
        <v>Новый подраздел</v>
      </c>
      <c r="G49" s="2" t="str">
        <f>IF(G28&lt;&gt;"",G28,"")</f>
        <v>Подраздел: ЗИМНЯЯ УБОРКА</v>
      </c>
      <c r="H49" s="2">
        <v>0</v>
      </c>
      <c r="I49" s="2"/>
      <c r="J49" s="2"/>
      <c r="K49" s="2"/>
      <c r="L49" s="2"/>
      <c r="M49" s="2"/>
      <c r="N49" s="2"/>
      <c r="O49" s="2">
        <f t="shared" ref="O49:T49" si="60">ROUND(AB49,2)</f>
        <v>32601101.969999999</v>
      </c>
      <c r="P49" s="2">
        <f t="shared" si="60"/>
        <v>3366485.92</v>
      </c>
      <c r="Q49" s="2">
        <f t="shared" si="60"/>
        <v>21493265.66</v>
      </c>
      <c r="R49" s="2">
        <f t="shared" si="60"/>
        <v>9811366.6899999995</v>
      </c>
      <c r="S49" s="2">
        <f t="shared" si="60"/>
        <v>7741350.3899999997</v>
      </c>
      <c r="T49" s="2">
        <f t="shared" si="60"/>
        <v>0</v>
      </c>
      <c r="U49" s="2">
        <f>AH49</f>
        <v>17083.905636000003</v>
      </c>
      <c r="V49" s="2">
        <f>AI49</f>
        <v>0</v>
      </c>
      <c r="W49" s="2">
        <f>ROUND(AJ49,2)</f>
        <v>0</v>
      </c>
      <c r="X49" s="2">
        <f>ROUND(AK49,2)</f>
        <v>5418945.2800000003</v>
      </c>
      <c r="Y49" s="2">
        <f>ROUND(AL49,2)</f>
        <v>774135.06</v>
      </c>
      <c r="Z49" s="2"/>
      <c r="AA49" s="2"/>
      <c r="AB49" s="2">
        <f>ROUND(SUMIF(AA32:AA47,"=80890340",O32:O47),2)</f>
        <v>32601101.969999999</v>
      </c>
      <c r="AC49" s="2">
        <f>ROUND(SUMIF(AA32:AA47,"=80890340",P32:P47),2)</f>
        <v>3366485.92</v>
      </c>
      <c r="AD49" s="2">
        <f>ROUND(SUMIF(AA32:AA47,"=80890340",Q32:Q47),2)</f>
        <v>21493265.66</v>
      </c>
      <c r="AE49" s="2">
        <f>ROUND(SUMIF(AA32:AA47,"=80890340",R32:R47),2)</f>
        <v>9811366.6899999995</v>
      </c>
      <c r="AF49" s="2">
        <f>ROUND(SUMIF(AA32:AA47,"=80890340",S32:S47),2)</f>
        <v>7741350.3899999997</v>
      </c>
      <c r="AG49" s="2">
        <f>ROUND(SUMIF(AA32:AA47,"=80890340",T32:T47),2)</f>
        <v>0</v>
      </c>
      <c r="AH49" s="2">
        <f>SUMIF(AA32:AA47,"=80890340",U32:U47)</f>
        <v>17083.905636000003</v>
      </c>
      <c r="AI49" s="2">
        <f>SUMIF(AA32:AA47,"=80890340",V32:V47)</f>
        <v>0</v>
      </c>
      <c r="AJ49" s="2">
        <f>ROUND(SUMIF(AA32:AA47,"=80890340",W32:W47),2)</f>
        <v>0</v>
      </c>
      <c r="AK49" s="2">
        <f>ROUND(SUMIF(AA32:AA47,"=80890340",X32:X47),2)</f>
        <v>5418945.2800000003</v>
      </c>
      <c r="AL49" s="2">
        <f>ROUND(SUMIF(AA32:AA47,"=80890340",Y32:Y47),2)</f>
        <v>774135.06</v>
      </c>
      <c r="AM49" s="2"/>
      <c r="AN49" s="2"/>
      <c r="AO49" s="2">
        <f t="shared" ref="AO49:BD49" si="61">ROUND(BX49,2)</f>
        <v>0</v>
      </c>
      <c r="AP49" s="2">
        <f t="shared" si="61"/>
        <v>0</v>
      </c>
      <c r="AQ49" s="2">
        <f t="shared" si="61"/>
        <v>0</v>
      </c>
      <c r="AR49" s="2">
        <f t="shared" si="61"/>
        <v>49390458.32</v>
      </c>
      <c r="AS49" s="2">
        <f t="shared" si="61"/>
        <v>0</v>
      </c>
      <c r="AT49" s="2">
        <f t="shared" si="61"/>
        <v>0</v>
      </c>
      <c r="AU49" s="2">
        <f t="shared" si="61"/>
        <v>49390458.32</v>
      </c>
      <c r="AV49" s="2">
        <f t="shared" si="61"/>
        <v>3366485.92</v>
      </c>
      <c r="AW49" s="2">
        <f t="shared" si="61"/>
        <v>3366485.92</v>
      </c>
      <c r="AX49" s="2">
        <f t="shared" si="61"/>
        <v>0</v>
      </c>
      <c r="AY49" s="2">
        <f t="shared" si="61"/>
        <v>3366485.92</v>
      </c>
      <c r="AZ49" s="2">
        <f t="shared" si="61"/>
        <v>0</v>
      </c>
      <c r="BA49" s="2">
        <f t="shared" si="61"/>
        <v>0</v>
      </c>
      <c r="BB49" s="2">
        <f t="shared" si="61"/>
        <v>0</v>
      </c>
      <c r="BC49" s="2">
        <f t="shared" si="61"/>
        <v>0</v>
      </c>
      <c r="BD49" s="2">
        <f t="shared" si="61"/>
        <v>0</v>
      </c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>
        <f>ROUND(SUMIF(AA32:AA47,"=80890340",FQ32:FQ47),2)</f>
        <v>0</v>
      </c>
      <c r="BY49" s="2">
        <f>ROUND(SUMIF(AA32:AA47,"=80890340",FR32:FR47),2)</f>
        <v>0</v>
      </c>
      <c r="BZ49" s="2">
        <f>ROUND(SUMIF(AA32:AA47,"=80890340",GL32:GL47),2)</f>
        <v>0</v>
      </c>
      <c r="CA49" s="2">
        <f>ROUND(SUMIF(AA32:AA47,"=80890340",GM32:GM47),2)</f>
        <v>49390458.32</v>
      </c>
      <c r="CB49" s="2">
        <f>ROUND(SUMIF(AA32:AA47,"=80890340",GN32:GN47),2)</f>
        <v>0</v>
      </c>
      <c r="CC49" s="2">
        <f>ROUND(SUMIF(AA32:AA47,"=80890340",GO32:GO47),2)</f>
        <v>0</v>
      </c>
      <c r="CD49" s="2">
        <f>ROUND(SUMIF(AA32:AA47,"=80890340",GP32:GP47),2)</f>
        <v>49390458.32</v>
      </c>
      <c r="CE49" s="2">
        <f>AC49-BX49</f>
        <v>3366485.92</v>
      </c>
      <c r="CF49" s="2">
        <f>AC49-BY49</f>
        <v>3366485.92</v>
      </c>
      <c r="CG49" s="2">
        <f>BX49-BZ49</f>
        <v>0</v>
      </c>
      <c r="CH49" s="2">
        <f>AC49-BX49-BY49+BZ49</f>
        <v>3366485.92</v>
      </c>
      <c r="CI49" s="2">
        <f>BY49-BZ49</f>
        <v>0</v>
      </c>
      <c r="CJ49" s="2">
        <f>ROUND(SUMIF(AA32:AA47,"=80890340",GX32:GX47),2)</f>
        <v>0</v>
      </c>
      <c r="CK49" s="2">
        <f>ROUND(SUMIF(AA32:AA47,"=80890340",GY32:GY47),2)</f>
        <v>0</v>
      </c>
      <c r="CL49" s="2">
        <f>ROUND(SUMIF(AA32:AA47,"=80890340",GZ32:GZ47),2)</f>
        <v>0</v>
      </c>
      <c r="CM49" s="2">
        <f>ROUND(SUMIF(AA32:AA47,"=80890340",HD32:HD47),2)</f>
        <v>0</v>
      </c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>
        <v>0</v>
      </c>
    </row>
    <row r="51" spans="1:206" ht="13" x14ac:dyDescent="0.3">
      <c r="A51" s="4">
        <v>50</v>
      </c>
      <c r="B51" s="4">
        <v>0</v>
      </c>
      <c r="C51" s="4">
        <v>0</v>
      </c>
      <c r="D51" s="4">
        <v>1</v>
      </c>
      <c r="E51" s="4">
        <v>201</v>
      </c>
      <c r="F51" s="4">
        <f>ROUND(Source!O49,O51)</f>
        <v>32601101.969999999</v>
      </c>
      <c r="G51" s="4" t="s">
        <v>94</v>
      </c>
      <c r="H51" s="4" t="s">
        <v>95</v>
      </c>
      <c r="I51" s="4"/>
      <c r="J51" s="4"/>
      <c r="K51" s="4">
        <v>201</v>
      </c>
      <c r="L51" s="4">
        <v>1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32601101.969999999</v>
      </c>
      <c r="X51" s="4">
        <v>1</v>
      </c>
      <c r="Y51" s="4">
        <v>32601101.969999999</v>
      </c>
      <c r="Z51" s="4"/>
      <c r="AA51" s="4"/>
      <c r="AB51" s="4"/>
    </row>
    <row r="52" spans="1:206" ht="13" x14ac:dyDescent="0.3">
      <c r="A52" s="4">
        <v>50</v>
      </c>
      <c r="B52" s="4">
        <v>0</v>
      </c>
      <c r="C52" s="4">
        <v>0</v>
      </c>
      <c r="D52" s="4">
        <v>1</v>
      </c>
      <c r="E52" s="4">
        <v>202</v>
      </c>
      <c r="F52" s="4">
        <f>ROUND(Source!P49,O52)</f>
        <v>3366485.92</v>
      </c>
      <c r="G52" s="4" t="s">
        <v>96</v>
      </c>
      <c r="H52" s="4" t="s">
        <v>97</v>
      </c>
      <c r="I52" s="4"/>
      <c r="J52" s="4"/>
      <c r="K52" s="4">
        <v>202</v>
      </c>
      <c r="L52" s="4">
        <v>2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3366485.92</v>
      </c>
      <c r="X52" s="4">
        <v>1</v>
      </c>
      <c r="Y52" s="4">
        <v>3366485.92</v>
      </c>
      <c r="Z52" s="4"/>
      <c r="AA52" s="4"/>
      <c r="AB52" s="4"/>
    </row>
    <row r="53" spans="1:206" ht="13" x14ac:dyDescent="0.3">
      <c r="A53" s="4">
        <v>50</v>
      </c>
      <c r="B53" s="4">
        <v>0</v>
      </c>
      <c r="C53" s="4">
        <v>0</v>
      </c>
      <c r="D53" s="4">
        <v>1</v>
      </c>
      <c r="E53" s="4">
        <v>222</v>
      </c>
      <c r="F53" s="4">
        <f>ROUND(Source!AO49,O53)</f>
        <v>0</v>
      </c>
      <c r="G53" s="4" t="s">
        <v>98</v>
      </c>
      <c r="H53" s="4" t="s">
        <v>99</v>
      </c>
      <c r="I53" s="4"/>
      <c r="J53" s="4"/>
      <c r="K53" s="4">
        <v>222</v>
      </c>
      <c r="L53" s="4">
        <v>3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06" ht="13" x14ac:dyDescent="0.3">
      <c r="A54" s="4">
        <v>50</v>
      </c>
      <c r="B54" s="4">
        <v>0</v>
      </c>
      <c r="C54" s="4">
        <v>0</v>
      </c>
      <c r="D54" s="4">
        <v>1</v>
      </c>
      <c r="E54" s="4">
        <v>225</v>
      </c>
      <c r="F54" s="4">
        <f>ROUND(Source!AV49,O54)</f>
        <v>3366485.92</v>
      </c>
      <c r="G54" s="4" t="s">
        <v>100</v>
      </c>
      <c r="H54" s="4" t="s">
        <v>101</v>
      </c>
      <c r="I54" s="4"/>
      <c r="J54" s="4"/>
      <c r="K54" s="4">
        <v>225</v>
      </c>
      <c r="L54" s="4">
        <v>4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3366485.92</v>
      </c>
      <c r="X54" s="4">
        <v>1</v>
      </c>
      <c r="Y54" s="4">
        <v>3366485.92</v>
      </c>
      <c r="Z54" s="4"/>
      <c r="AA54" s="4"/>
      <c r="AB54" s="4"/>
    </row>
    <row r="55" spans="1:206" ht="13" x14ac:dyDescent="0.3">
      <c r="A55" s="4">
        <v>50</v>
      </c>
      <c r="B55" s="4">
        <v>0</v>
      </c>
      <c r="C55" s="4">
        <v>0</v>
      </c>
      <c r="D55" s="4">
        <v>1</v>
      </c>
      <c r="E55" s="4">
        <v>226</v>
      </c>
      <c r="F55" s="4">
        <f>ROUND(Source!AW49,O55)</f>
        <v>3366485.92</v>
      </c>
      <c r="G55" s="4" t="s">
        <v>102</v>
      </c>
      <c r="H55" s="4" t="s">
        <v>103</v>
      </c>
      <c r="I55" s="4"/>
      <c r="J55" s="4"/>
      <c r="K55" s="4">
        <v>226</v>
      </c>
      <c r="L55" s="4">
        <v>5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3366485.92</v>
      </c>
      <c r="X55" s="4">
        <v>1</v>
      </c>
      <c r="Y55" s="4">
        <v>3366485.92</v>
      </c>
      <c r="Z55" s="4"/>
      <c r="AA55" s="4"/>
      <c r="AB55" s="4"/>
    </row>
    <row r="56" spans="1:206" ht="13" x14ac:dyDescent="0.3">
      <c r="A56" s="4">
        <v>50</v>
      </c>
      <c r="B56" s="4">
        <v>0</v>
      </c>
      <c r="C56" s="4">
        <v>0</v>
      </c>
      <c r="D56" s="4">
        <v>1</v>
      </c>
      <c r="E56" s="4">
        <v>227</v>
      </c>
      <c r="F56" s="4">
        <f>ROUND(Source!AX49,O56)</f>
        <v>0</v>
      </c>
      <c r="G56" s="4" t="s">
        <v>104</v>
      </c>
      <c r="H56" s="4" t="s">
        <v>105</v>
      </c>
      <c r="I56" s="4"/>
      <c r="J56" s="4"/>
      <c r="K56" s="4">
        <v>227</v>
      </c>
      <c r="L56" s="4">
        <v>6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06" ht="13" x14ac:dyDescent="0.3">
      <c r="A57" s="4">
        <v>50</v>
      </c>
      <c r="B57" s="4">
        <v>0</v>
      </c>
      <c r="C57" s="4">
        <v>0</v>
      </c>
      <c r="D57" s="4">
        <v>1</v>
      </c>
      <c r="E57" s="4">
        <v>228</v>
      </c>
      <c r="F57" s="4">
        <f>ROUND(Source!AY49,O57)</f>
        <v>3366485.92</v>
      </c>
      <c r="G57" s="4" t="s">
        <v>106</v>
      </c>
      <c r="H57" s="4" t="s">
        <v>107</v>
      </c>
      <c r="I57" s="4"/>
      <c r="J57" s="4"/>
      <c r="K57" s="4">
        <v>228</v>
      </c>
      <c r="L57" s="4">
        <v>7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3366485.92</v>
      </c>
      <c r="X57" s="4">
        <v>1</v>
      </c>
      <c r="Y57" s="4">
        <v>3366485.92</v>
      </c>
      <c r="Z57" s="4"/>
      <c r="AA57" s="4"/>
      <c r="AB57" s="4"/>
    </row>
    <row r="58" spans="1:206" ht="13" x14ac:dyDescent="0.3">
      <c r="A58" s="4">
        <v>50</v>
      </c>
      <c r="B58" s="4">
        <v>0</v>
      </c>
      <c r="C58" s="4">
        <v>0</v>
      </c>
      <c r="D58" s="4">
        <v>1</v>
      </c>
      <c r="E58" s="4">
        <v>216</v>
      </c>
      <c r="F58" s="4">
        <f>ROUND(Source!AP49,O58)</f>
        <v>0</v>
      </c>
      <c r="G58" s="4" t="s">
        <v>108</v>
      </c>
      <c r="H58" s="4" t="s">
        <v>109</v>
      </c>
      <c r="I58" s="4"/>
      <c r="J58" s="4"/>
      <c r="K58" s="4">
        <v>216</v>
      </c>
      <c r="L58" s="4">
        <v>8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06" ht="13" x14ac:dyDescent="0.3">
      <c r="A59" s="4">
        <v>50</v>
      </c>
      <c r="B59" s="4">
        <v>0</v>
      </c>
      <c r="C59" s="4">
        <v>0</v>
      </c>
      <c r="D59" s="4">
        <v>1</v>
      </c>
      <c r="E59" s="4">
        <v>223</v>
      </c>
      <c r="F59" s="4">
        <f>ROUND(Source!AQ49,O59)</f>
        <v>0</v>
      </c>
      <c r="G59" s="4" t="s">
        <v>110</v>
      </c>
      <c r="H59" s="4" t="s">
        <v>111</v>
      </c>
      <c r="I59" s="4"/>
      <c r="J59" s="4"/>
      <c r="K59" s="4">
        <v>223</v>
      </c>
      <c r="L59" s="4">
        <v>9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06" ht="13" x14ac:dyDescent="0.3">
      <c r="A60" s="4">
        <v>50</v>
      </c>
      <c r="B60" s="4">
        <v>0</v>
      </c>
      <c r="C60" s="4">
        <v>0</v>
      </c>
      <c r="D60" s="4">
        <v>1</v>
      </c>
      <c r="E60" s="4">
        <v>229</v>
      </c>
      <c r="F60" s="4">
        <f>ROUND(Source!AZ49,O60)</f>
        <v>0</v>
      </c>
      <c r="G60" s="4" t="s">
        <v>112</v>
      </c>
      <c r="H60" s="4" t="s">
        <v>113</v>
      </c>
      <c r="I60" s="4"/>
      <c r="J60" s="4"/>
      <c r="K60" s="4">
        <v>229</v>
      </c>
      <c r="L60" s="4">
        <v>10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06" ht="13" x14ac:dyDescent="0.3">
      <c r="A61" s="4">
        <v>50</v>
      </c>
      <c r="B61" s="4">
        <v>0</v>
      </c>
      <c r="C61" s="4">
        <v>0</v>
      </c>
      <c r="D61" s="4">
        <v>1</v>
      </c>
      <c r="E61" s="4">
        <v>203</v>
      </c>
      <c r="F61" s="4">
        <f>ROUND(Source!Q49,O61)</f>
        <v>21493265.66</v>
      </c>
      <c r="G61" s="4" t="s">
        <v>114</v>
      </c>
      <c r="H61" s="4" t="s">
        <v>115</v>
      </c>
      <c r="I61" s="4"/>
      <c r="J61" s="4"/>
      <c r="K61" s="4">
        <v>203</v>
      </c>
      <c r="L61" s="4">
        <v>11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21493265.66</v>
      </c>
      <c r="X61" s="4">
        <v>1</v>
      </c>
      <c r="Y61" s="4">
        <v>21493265.66</v>
      </c>
      <c r="Z61" s="4"/>
      <c r="AA61" s="4"/>
      <c r="AB61" s="4"/>
    </row>
    <row r="62" spans="1:206" ht="13" x14ac:dyDescent="0.3">
      <c r="A62" s="4">
        <v>50</v>
      </c>
      <c r="B62" s="4">
        <v>0</v>
      </c>
      <c r="C62" s="4">
        <v>0</v>
      </c>
      <c r="D62" s="4">
        <v>1</v>
      </c>
      <c r="E62" s="4">
        <v>231</v>
      </c>
      <c r="F62" s="4">
        <f>ROUND(Source!BB49,O62)</f>
        <v>0</v>
      </c>
      <c r="G62" s="4" t="s">
        <v>116</v>
      </c>
      <c r="H62" s="4" t="s">
        <v>117</v>
      </c>
      <c r="I62" s="4"/>
      <c r="J62" s="4"/>
      <c r="K62" s="4">
        <v>231</v>
      </c>
      <c r="L62" s="4">
        <v>12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06" ht="13" x14ac:dyDescent="0.3">
      <c r="A63" s="4">
        <v>50</v>
      </c>
      <c r="B63" s="4">
        <v>0</v>
      </c>
      <c r="C63" s="4">
        <v>0</v>
      </c>
      <c r="D63" s="4">
        <v>1</v>
      </c>
      <c r="E63" s="4">
        <v>204</v>
      </c>
      <c r="F63" s="4">
        <f>ROUND(Source!R49,O63)</f>
        <v>9811366.6899999995</v>
      </c>
      <c r="G63" s="4" t="s">
        <v>118</v>
      </c>
      <c r="H63" s="4" t="s">
        <v>119</v>
      </c>
      <c r="I63" s="4"/>
      <c r="J63" s="4"/>
      <c r="K63" s="4">
        <v>204</v>
      </c>
      <c r="L63" s="4">
        <v>13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9811366.6899999995</v>
      </c>
      <c r="X63" s="4">
        <v>1</v>
      </c>
      <c r="Y63" s="4">
        <v>9811366.6899999995</v>
      </c>
      <c r="Z63" s="4"/>
      <c r="AA63" s="4"/>
      <c r="AB63" s="4"/>
    </row>
    <row r="64" spans="1:206" ht="13" x14ac:dyDescent="0.3">
      <c r="A64" s="4">
        <v>50</v>
      </c>
      <c r="B64" s="4">
        <v>0</v>
      </c>
      <c r="C64" s="4">
        <v>0</v>
      </c>
      <c r="D64" s="4">
        <v>1</v>
      </c>
      <c r="E64" s="4">
        <v>205</v>
      </c>
      <c r="F64" s="4">
        <f>ROUND(Source!S49,O64)</f>
        <v>7741350.3899999997</v>
      </c>
      <c r="G64" s="4" t="s">
        <v>120</v>
      </c>
      <c r="H64" s="4" t="s">
        <v>121</v>
      </c>
      <c r="I64" s="4"/>
      <c r="J64" s="4"/>
      <c r="K64" s="4">
        <v>205</v>
      </c>
      <c r="L64" s="4">
        <v>14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7741350.3899999997</v>
      </c>
      <c r="X64" s="4">
        <v>1</v>
      </c>
      <c r="Y64" s="4">
        <v>7741350.3899999997</v>
      </c>
      <c r="Z64" s="4"/>
      <c r="AA64" s="4"/>
      <c r="AB64" s="4"/>
    </row>
    <row r="65" spans="1:88" ht="13" x14ac:dyDescent="0.3">
      <c r="A65" s="4">
        <v>50</v>
      </c>
      <c r="B65" s="4">
        <v>0</v>
      </c>
      <c r="C65" s="4">
        <v>0</v>
      </c>
      <c r="D65" s="4">
        <v>1</v>
      </c>
      <c r="E65" s="4">
        <v>232</v>
      </c>
      <c r="F65" s="4">
        <f>ROUND(Source!BC49,O65)</f>
        <v>0</v>
      </c>
      <c r="G65" s="4" t="s">
        <v>122</v>
      </c>
      <c r="H65" s="4" t="s">
        <v>123</v>
      </c>
      <c r="I65" s="4"/>
      <c r="J65" s="4"/>
      <c r="K65" s="4">
        <v>232</v>
      </c>
      <c r="L65" s="4">
        <v>15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88" ht="13" x14ac:dyDescent="0.3">
      <c r="A66" s="4">
        <v>50</v>
      </c>
      <c r="B66" s="4">
        <v>0</v>
      </c>
      <c r="C66" s="4">
        <v>0</v>
      </c>
      <c r="D66" s="4">
        <v>1</v>
      </c>
      <c r="E66" s="4">
        <v>214</v>
      </c>
      <c r="F66" s="4">
        <f>ROUND(Source!AS49,O66)</f>
        <v>0</v>
      </c>
      <c r="G66" s="4" t="s">
        <v>124</v>
      </c>
      <c r="H66" s="4" t="s">
        <v>125</v>
      </c>
      <c r="I66" s="4"/>
      <c r="J66" s="4"/>
      <c r="K66" s="4">
        <v>214</v>
      </c>
      <c r="L66" s="4">
        <v>16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88" ht="13" x14ac:dyDescent="0.3">
      <c r="A67" s="4">
        <v>50</v>
      </c>
      <c r="B67" s="4">
        <v>0</v>
      </c>
      <c r="C67" s="4">
        <v>0</v>
      </c>
      <c r="D67" s="4">
        <v>1</v>
      </c>
      <c r="E67" s="4">
        <v>215</v>
      </c>
      <c r="F67" s="4">
        <f>ROUND(Source!AT49,O67)</f>
        <v>0</v>
      </c>
      <c r="G67" s="4" t="s">
        <v>126</v>
      </c>
      <c r="H67" s="4" t="s">
        <v>127</v>
      </c>
      <c r="I67" s="4"/>
      <c r="J67" s="4"/>
      <c r="K67" s="4">
        <v>215</v>
      </c>
      <c r="L67" s="4">
        <v>17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88" ht="13" x14ac:dyDescent="0.3">
      <c r="A68" s="4">
        <v>50</v>
      </c>
      <c r="B68" s="4">
        <v>0</v>
      </c>
      <c r="C68" s="4">
        <v>0</v>
      </c>
      <c r="D68" s="4">
        <v>1</v>
      </c>
      <c r="E68" s="4">
        <v>217</v>
      </c>
      <c r="F68" s="4">
        <f>ROUND(Source!AU49,O68)</f>
        <v>49390458.32</v>
      </c>
      <c r="G68" s="4" t="s">
        <v>128</v>
      </c>
      <c r="H68" s="4" t="s">
        <v>129</v>
      </c>
      <c r="I68" s="4"/>
      <c r="J68" s="4"/>
      <c r="K68" s="4">
        <v>217</v>
      </c>
      <c r="L68" s="4">
        <v>18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49390458.32</v>
      </c>
      <c r="X68" s="4">
        <v>1</v>
      </c>
      <c r="Y68" s="4">
        <v>49390458.32</v>
      </c>
      <c r="Z68" s="4"/>
      <c r="AA68" s="4"/>
      <c r="AB68" s="4"/>
    </row>
    <row r="69" spans="1:88" ht="13" x14ac:dyDescent="0.3">
      <c r="A69" s="4">
        <v>50</v>
      </c>
      <c r="B69" s="4">
        <v>0</v>
      </c>
      <c r="C69" s="4">
        <v>0</v>
      </c>
      <c r="D69" s="4">
        <v>1</v>
      </c>
      <c r="E69" s="4">
        <v>230</v>
      </c>
      <c r="F69" s="4">
        <f>ROUND(Source!BA49,O69)</f>
        <v>0</v>
      </c>
      <c r="G69" s="4" t="s">
        <v>130</v>
      </c>
      <c r="H69" s="4" t="s">
        <v>131</v>
      </c>
      <c r="I69" s="4"/>
      <c r="J69" s="4"/>
      <c r="K69" s="4">
        <v>230</v>
      </c>
      <c r="L69" s="4">
        <v>19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88" ht="13" x14ac:dyDescent="0.3">
      <c r="A70" s="4">
        <v>50</v>
      </c>
      <c r="B70" s="4">
        <v>0</v>
      </c>
      <c r="C70" s="4">
        <v>0</v>
      </c>
      <c r="D70" s="4">
        <v>1</v>
      </c>
      <c r="E70" s="4">
        <v>206</v>
      </c>
      <c r="F70" s="4">
        <f>ROUND(Source!T49,O70)</f>
        <v>0</v>
      </c>
      <c r="G70" s="4" t="s">
        <v>132</v>
      </c>
      <c r="H70" s="4" t="s">
        <v>133</v>
      </c>
      <c r="I70" s="4"/>
      <c r="J70" s="4"/>
      <c r="K70" s="4">
        <v>206</v>
      </c>
      <c r="L70" s="4">
        <v>20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88" ht="13" x14ac:dyDescent="0.3">
      <c r="A71" s="4">
        <v>50</v>
      </c>
      <c r="B71" s="4">
        <v>0</v>
      </c>
      <c r="C71" s="4">
        <v>0</v>
      </c>
      <c r="D71" s="4">
        <v>1</v>
      </c>
      <c r="E71" s="4">
        <v>207</v>
      </c>
      <c r="F71" s="4">
        <f>Source!U49</f>
        <v>17083.905636000003</v>
      </c>
      <c r="G71" s="4" t="s">
        <v>134</v>
      </c>
      <c r="H71" s="4" t="s">
        <v>135</v>
      </c>
      <c r="I71" s="4"/>
      <c r="J71" s="4"/>
      <c r="K71" s="4">
        <v>207</v>
      </c>
      <c r="L71" s="4">
        <v>21</v>
      </c>
      <c r="M71" s="4">
        <v>3</v>
      </c>
      <c r="N71" s="4" t="s">
        <v>3</v>
      </c>
      <c r="O71" s="4">
        <v>-1</v>
      </c>
      <c r="P71" s="4"/>
      <c r="Q71" s="4"/>
      <c r="R71" s="4"/>
      <c r="S71" s="4"/>
      <c r="T71" s="4"/>
      <c r="U71" s="4"/>
      <c r="V71" s="4"/>
      <c r="W71" s="4">
        <v>17083.905636000003</v>
      </c>
      <c r="X71" s="4">
        <v>1</v>
      </c>
      <c r="Y71" s="4">
        <v>17083.905636000003</v>
      </c>
      <c r="Z71" s="4"/>
      <c r="AA71" s="4"/>
      <c r="AB71" s="4"/>
    </row>
    <row r="72" spans="1:88" ht="13" x14ac:dyDescent="0.3">
      <c r="A72" s="4">
        <v>50</v>
      </c>
      <c r="B72" s="4">
        <v>0</v>
      </c>
      <c r="C72" s="4">
        <v>0</v>
      </c>
      <c r="D72" s="4">
        <v>1</v>
      </c>
      <c r="E72" s="4">
        <v>208</v>
      </c>
      <c r="F72" s="4">
        <f>Source!V49</f>
        <v>0</v>
      </c>
      <c r="G72" s="4" t="s">
        <v>136</v>
      </c>
      <c r="H72" s="4" t="s">
        <v>137</v>
      </c>
      <c r="I72" s="4"/>
      <c r="J72" s="4"/>
      <c r="K72" s="4">
        <v>208</v>
      </c>
      <c r="L72" s="4">
        <v>22</v>
      </c>
      <c r="M72" s="4">
        <v>3</v>
      </c>
      <c r="N72" s="4" t="s">
        <v>3</v>
      </c>
      <c r="O72" s="4">
        <v>-1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88" ht="13" x14ac:dyDescent="0.3">
      <c r="A73" s="4">
        <v>50</v>
      </c>
      <c r="B73" s="4">
        <v>0</v>
      </c>
      <c r="C73" s="4">
        <v>0</v>
      </c>
      <c r="D73" s="4">
        <v>1</v>
      </c>
      <c r="E73" s="4">
        <v>209</v>
      </c>
      <c r="F73" s="4">
        <f>ROUND(Source!W49,O73)</f>
        <v>0</v>
      </c>
      <c r="G73" s="4" t="s">
        <v>138</v>
      </c>
      <c r="H73" s="4" t="s">
        <v>139</v>
      </c>
      <c r="I73" s="4"/>
      <c r="J73" s="4"/>
      <c r="K73" s="4">
        <v>209</v>
      </c>
      <c r="L73" s="4">
        <v>23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88" ht="13" x14ac:dyDescent="0.3">
      <c r="A74" s="4">
        <v>50</v>
      </c>
      <c r="B74" s="4">
        <v>0</v>
      </c>
      <c r="C74" s="4">
        <v>0</v>
      </c>
      <c r="D74" s="4">
        <v>1</v>
      </c>
      <c r="E74" s="4">
        <v>233</v>
      </c>
      <c r="F74" s="4">
        <f>ROUND(Source!BD49,O74)</f>
        <v>0</v>
      </c>
      <c r="G74" s="4" t="s">
        <v>140</v>
      </c>
      <c r="H74" s="4" t="s">
        <v>141</v>
      </c>
      <c r="I74" s="4"/>
      <c r="J74" s="4"/>
      <c r="K74" s="4">
        <v>233</v>
      </c>
      <c r="L74" s="4">
        <v>24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0</v>
      </c>
      <c r="X74" s="4">
        <v>1</v>
      </c>
      <c r="Y74" s="4">
        <v>0</v>
      </c>
      <c r="Z74" s="4"/>
      <c r="AA74" s="4"/>
      <c r="AB74" s="4"/>
    </row>
    <row r="75" spans="1:88" ht="13" x14ac:dyDescent="0.3">
      <c r="A75" s="4">
        <v>50</v>
      </c>
      <c r="B75" s="4">
        <v>0</v>
      </c>
      <c r="C75" s="4">
        <v>0</v>
      </c>
      <c r="D75" s="4">
        <v>1</v>
      </c>
      <c r="E75" s="4">
        <v>210</v>
      </c>
      <c r="F75" s="4">
        <f>ROUND(Source!X49,O75)</f>
        <v>5418945.2800000003</v>
      </c>
      <c r="G75" s="4" t="s">
        <v>142</v>
      </c>
      <c r="H75" s="4" t="s">
        <v>143</v>
      </c>
      <c r="I75" s="4"/>
      <c r="J75" s="4"/>
      <c r="K75" s="4">
        <v>210</v>
      </c>
      <c r="L75" s="4">
        <v>25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5418945.2800000003</v>
      </c>
      <c r="X75" s="4">
        <v>1</v>
      </c>
      <c r="Y75" s="4">
        <v>5418945.2800000003</v>
      </c>
      <c r="Z75" s="4"/>
      <c r="AA75" s="4"/>
      <c r="AB75" s="4"/>
    </row>
    <row r="76" spans="1:88" ht="13" x14ac:dyDescent="0.3">
      <c r="A76" s="4">
        <v>50</v>
      </c>
      <c r="B76" s="4">
        <v>0</v>
      </c>
      <c r="C76" s="4">
        <v>0</v>
      </c>
      <c r="D76" s="4">
        <v>1</v>
      </c>
      <c r="E76" s="4">
        <v>211</v>
      </c>
      <c r="F76" s="4">
        <f>ROUND(Source!Y49,O76)</f>
        <v>774135.06</v>
      </c>
      <c r="G76" s="4" t="s">
        <v>144</v>
      </c>
      <c r="H76" s="4" t="s">
        <v>145</v>
      </c>
      <c r="I76" s="4"/>
      <c r="J76" s="4"/>
      <c r="K76" s="4">
        <v>211</v>
      </c>
      <c r="L76" s="4">
        <v>26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774135.06</v>
      </c>
      <c r="X76" s="4">
        <v>1</v>
      </c>
      <c r="Y76" s="4">
        <v>774135.06</v>
      </c>
      <c r="Z76" s="4"/>
      <c r="AA76" s="4"/>
      <c r="AB76" s="4"/>
    </row>
    <row r="77" spans="1:88" ht="13" x14ac:dyDescent="0.3">
      <c r="A77" s="4">
        <v>50</v>
      </c>
      <c r="B77" s="4">
        <v>0</v>
      </c>
      <c r="C77" s="4">
        <v>0</v>
      </c>
      <c r="D77" s="4">
        <v>1</v>
      </c>
      <c r="E77" s="4">
        <v>224</v>
      </c>
      <c r="F77" s="4">
        <f>ROUND(Source!AR49,O77)</f>
        <v>49390458.32</v>
      </c>
      <c r="G77" s="4" t="s">
        <v>146</v>
      </c>
      <c r="H77" s="4" t="s">
        <v>147</v>
      </c>
      <c r="I77" s="4"/>
      <c r="J77" s="4"/>
      <c r="K77" s="4">
        <v>224</v>
      </c>
      <c r="L77" s="4">
        <v>27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49390458.32</v>
      </c>
      <c r="X77" s="4">
        <v>1</v>
      </c>
      <c r="Y77" s="4">
        <v>49390458.32</v>
      </c>
      <c r="Z77" s="4"/>
      <c r="AA77" s="4"/>
      <c r="AB77" s="4"/>
    </row>
    <row r="79" spans="1:88" ht="13" x14ac:dyDescent="0.3">
      <c r="A79" s="1">
        <v>5</v>
      </c>
      <c r="B79" s="1">
        <v>1</v>
      </c>
      <c r="C79" s="1"/>
      <c r="D79" s="1">
        <f>ROW(A99)</f>
        <v>99</v>
      </c>
      <c r="E79" s="1"/>
      <c r="F79" s="1" t="s">
        <v>16</v>
      </c>
      <c r="G79" s="1" t="s">
        <v>379</v>
      </c>
      <c r="H79" s="1" t="s">
        <v>3</v>
      </c>
      <c r="I79" s="1">
        <v>0</v>
      </c>
      <c r="J79" s="1"/>
      <c r="K79" s="1">
        <v>0</v>
      </c>
      <c r="L79" s="1"/>
      <c r="M79" s="1" t="s">
        <v>3</v>
      </c>
      <c r="N79" s="1"/>
      <c r="O79" s="1"/>
      <c r="P79" s="1"/>
      <c r="Q79" s="1"/>
      <c r="R79" s="1"/>
      <c r="S79" s="1">
        <v>0</v>
      </c>
      <c r="T79" s="1"/>
      <c r="U79" s="1" t="s">
        <v>3</v>
      </c>
      <c r="V79" s="1">
        <v>0</v>
      </c>
      <c r="W79" s="1"/>
      <c r="X79" s="1"/>
      <c r="Y79" s="1"/>
      <c r="Z79" s="1"/>
      <c r="AA79" s="1"/>
      <c r="AB79" s="1" t="s">
        <v>3</v>
      </c>
      <c r="AC79" s="1" t="s">
        <v>3</v>
      </c>
      <c r="AD79" s="1" t="s">
        <v>3</v>
      </c>
      <c r="AE79" s="1" t="s">
        <v>3</v>
      </c>
      <c r="AF79" s="1" t="s">
        <v>3</v>
      </c>
      <c r="AG79" s="1" t="s">
        <v>3</v>
      </c>
      <c r="AH79" s="1"/>
      <c r="AI79" s="1"/>
      <c r="AJ79" s="1"/>
      <c r="AK79" s="1"/>
      <c r="AL79" s="1"/>
      <c r="AM79" s="1"/>
      <c r="AN79" s="1"/>
      <c r="AO79" s="1"/>
      <c r="AP79" s="1" t="s">
        <v>3</v>
      </c>
      <c r="AQ79" s="1" t="s">
        <v>3</v>
      </c>
      <c r="AR79" s="1" t="s">
        <v>3</v>
      </c>
      <c r="AS79" s="1"/>
      <c r="AT79" s="1"/>
      <c r="AU79" s="1"/>
      <c r="AV79" s="1"/>
      <c r="AW79" s="1"/>
      <c r="AX79" s="1"/>
      <c r="AY79" s="1"/>
      <c r="AZ79" s="1" t="s">
        <v>3</v>
      </c>
      <c r="BA79" s="1"/>
      <c r="BB79" s="1" t="s">
        <v>3</v>
      </c>
      <c r="BC79" s="1" t="s">
        <v>3</v>
      </c>
      <c r="BD79" s="1" t="s">
        <v>3</v>
      </c>
      <c r="BE79" s="1" t="s">
        <v>3</v>
      </c>
      <c r="BF79" s="1" t="s">
        <v>3</v>
      </c>
      <c r="BG79" s="1" t="s">
        <v>3</v>
      </c>
      <c r="BH79" s="1" t="s">
        <v>3</v>
      </c>
      <c r="BI79" s="1" t="s">
        <v>3</v>
      </c>
      <c r="BJ79" s="1" t="s">
        <v>3</v>
      </c>
      <c r="BK79" s="1" t="s">
        <v>3</v>
      </c>
      <c r="BL79" s="1" t="s">
        <v>3</v>
      </c>
      <c r="BM79" s="1" t="s">
        <v>3</v>
      </c>
      <c r="BN79" s="1" t="s">
        <v>3</v>
      </c>
      <c r="BO79" s="1" t="s">
        <v>3</v>
      </c>
      <c r="BP79" s="1" t="s">
        <v>3</v>
      </c>
      <c r="BQ79" s="1"/>
      <c r="BR79" s="1"/>
      <c r="BS79" s="1"/>
      <c r="BT79" s="1"/>
      <c r="BU79" s="1"/>
      <c r="BV79" s="1"/>
      <c r="BW79" s="1"/>
      <c r="BX79" s="1">
        <v>0</v>
      </c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>
        <v>0</v>
      </c>
    </row>
    <row r="81" spans="1:245" ht="13" x14ac:dyDescent="0.3">
      <c r="A81" s="2">
        <v>52</v>
      </c>
      <c r="B81" s="2">
        <f t="shared" ref="B81:G81" si="62">B99</f>
        <v>1</v>
      </c>
      <c r="C81" s="2">
        <f t="shared" si="62"/>
        <v>5</v>
      </c>
      <c r="D81" s="2">
        <f t="shared" si="62"/>
        <v>79</v>
      </c>
      <c r="E81" s="2">
        <f t="shared" si="62"/>
        <v>0</v>
      </c>
      <c r="F81" s="2" t="str">
        <f t="shared" si="62"/>
        <v>Новый подраздел</v>
      </c>
      <c r="G81" s="2" t="str">
        <f t="shared" si="62"/>
        <v>Подраздел: ЛЕТНЯЯ УБОРКА</v>
      </c>
      <c r="H81" s="2"/>
      <c r="I81" s="2"/>
      <c r="J81" s="2"/>
      <c r="K81" s="2"/>
      <c r="L81" s="2"/>
      <c r="M81" s="2"/>
      <c r="N81" s="2"/>
      <c r="O81" s="2">
        <f t="shared" ref="O81:AT81" si="63">O99</f>
        <v>7932247.7199999997</v>
      </c>
      <c r="P81" s="2">
        <f t="shared" si="63"/>
        <v>45897.31</v>
      </c>
      <c r="Q81" s="2">
        <f t="shared" si="63"/>
        <v>5806336.6900000004</v>
      </c>
      <c r="R81" s="2">
        <f t="shared" si="63"/>
        <v>2744326.72</v>
      </c>
      <c r="S81" s="2">
        <f t="shared" si="63"/>
        <v>2080013.72</v>
      </c>
      <c r="T81" s="2">
        <f t="shared" si="63"/>
        <v>0</v>
      </c>
      <c r="U81" s="2">
        <f t="shared" si="63"/>
        <v>4669.4014499999994</v>
      </c>
      <c r="V81" s="2">
        <f t="shared" si="63"/>
        <v>0</v>
      </c>
      <c r="W81" s="2">
        <f t="shared" si="63"/>
        <v>0</v>
      </c>
      <c r="X81" s="2">
        <f t="shared" si="63"/>
        <v>1456009.62</v>
      </c>
      <c r="Y81" s="2">
        <f t="shared" si="63"/>
        <v>208001.38</v>
      </c>
      <c r="Z81" s="2">
        <f t="shared" si="63"/>
        <v>0</v>
      </c>
      <c r="AA81" s="2">
        <f t="shared" si="63"/>
        <v>0</v>
      </c>
      <c r="AB81" s="2">
        <f t="shared" si="63"/>
        <v>7932247.7199999997</v>
      </c>
      <c r="AC81" s="2">
        <f t="shared" si="63"/>
        <v>45897.31</v>
      </c>
      <c r="AD81" s="2">
        <f t="shared" si="63"/>
        <v>5806336.6900000004</v>
      </c>
      <c r="AE81" s="2">
        <f t="shared" si="63"/>
        <v>2744326.72</v>
      </c>
      <c r="AF81" s="2">
        <f t="shared" si="63"/>
        <v>2080013.72</v>
      </c>
      <c r="AG81" s="2">
        <f t="shared" si="63"/>
        <v>0</v>
      </c>
      <c r="AH81" s="2">
        <f t="shared" si="63"/>
        <v>4669.4014499999994</v>
      </c>
      <c r="AI81" s="2">
        <f t="shared" si="63"/>
        <v>0</v>
      </c>
      <c r="AJ81" s="2">
        <f t="shared" si="63"/>
        <v>0</v>
      </c>
      <c r="AK81" s="2">
        <f t="shared" si="63"/>
        <v>1456009.62</v>
      </c>
      <c r="AL81" s="2">
        <f t="shared" si="63"/>
        <v>208001.38</v>
      </c>
      <c r="AM81" s="2">
        <f t="shared" si="63"/>
        <v>0</v>
      </c>
      <c r="AN81" s="2">
        <f t="shared" si="63"/>
        <v>0</v>
      </c>
      <c r="AO81" s="2">
        <f t="shared" si="63"/>
        <v>0</v>
      </c>
      <c r="AP81" s="2">
        <f t="shared" si="63"/>
        <v>0</v>
      </c>
      <c r="AQ81" s="2">
        <f t="shared" si="63"/>
        <v>0</v>
      </c>
      <c r="AR81" s="2">
        <f t="shared" si="63"/>
        <v>12560131.58</v>
      </c>
      <c r="AS81" s="2">
        <f t="shared" si="63"/>
        <v>0</v>
      </c>
      <c r="AT81" s="2">
        <f t="shared" si="63"/>
        <v>0</v>
      </c>
      <c r="AU81" s="2">
        <f t="shared" ref="AU81:BZ81" si="64">AU99</f>
        <v>12560131.58</v>
      </c>
      <c r="AV81" s="2">
        <f t="shared" si="64"/>
        <v>45897.31</v>
      </c>
      <c r="AW81" s="2">
        <f t="shared" si="64"/>
        <v>45897.31</v>
      </c>
      <c r="AX81" s="2">
        <f t="shared" si="64"/>
        <v>0</v>
      </c>
      <c r="AY81" s="2">
        <f t="shared" si="64"/>
        <v>45897.31</v>
      </c>
      <c r="AZ81" s="2">
        <f t="shared" si="64"/>
        <v>0</v>
      </c>
      <c r="BA81" s="2">
        <f t="shared" si="64"/>
        <v>0</v>
      </c>
      <c r="BB81" s="2">
        <f t="shared" si="64"/>
        <v>0</v>
      </c>
      <c r="BC81" s="2">
        <f t="shared" si="64"/>
        <v>0</v>
      </c>
      <c r="BD81" s="2">
        <f t="shared" si="64"/>
        <v>0</v>
      </c>
      <c r="BE81" s="2">
        <f t="shared" si="64"/>
        <v>0</v>
      </c>
      <c r="BF81" s="2">
        <f t="shared" si="64"/>
        <v>0</v>
      </c>
      <c r="BG81" s="2">
        <f t="shared" si="64"/>
        <v>0</v>
      </c>
      <c r="BH81" s="2">
        <f t="shared" si="64"/>
        <v>0</v>
      </c>
      <c r="BI81" s="2">
        <f t="shared" si="64"/>
        <v>0</v>
      </c>
      <c r="BJ81" s="2">
        <f t="shared" si="64"/>
        <v>0</v>
      </c>
      <c r="BK81" s="2">
        <f t="shared" si="64"/>
        <v>0</v>
      </c>
      <c r="BL81" s="2">
        <f t="shared" si="64"/>
        <v>0</v>
      </c>
      <c r="BM81" s="2">
        <f t="shared" si="64"/>
        <v>0</v>
      </c>
      <c r="BN81" s="2">
        <f t="shared" si="64"/>
        <v>0</v>
      </c>
      <c r="BO81" s="2">
        <f t="shared" si="64"/>
        <v>0</v>
      </c>
      <c r="BP81" s="2">
        <f t="shared" si="64"/>
        <v>0</v>
      </c>
      <c r="BQ81" s="2">
        <f t="shared" si="64"/>
        <v>0</v>
      </c>
      <c r="BR81" s="2">
        <f t="shared" si="64"/>
        <v>0</v>
      </c>
      <c r="BS81" s="2">
        <f t="shared" si="64"/>
        <v>0</v>
      </c>
      <c r="BT81" s="2">
        <f t="shared" si="64"/>
        <v>0</v>
      </c>
      <c r="BU81" s="2">
        <f t="shared" si="64"/>
        <v>0</v>
      </c>
      <c r="BV81" s="2">
        <f t="shared" si="64"/>
        <v>0</v>
      </c>
      <c r="BW81" s="2">
        <f t="shared" si="64"/>
        <v>0</v>
      </c>
      <c r="BX81" s="2">
        <f t="shared" si="64"/>
        <v>0</v>
      </c>
      <c r="BY81" s="2">
        <f t="shared" si="64"/>
        <v>0</v>
      </c>
      <c r="BZ81" s="2">
        <f t="shared" si="64"/>
        <v>0</v>
      </c>
      <c r="CA81" s="2">
        <f t="shared" ref="CA81:DF81" si="65">CA99</f>
        <v>12560131.58</v>
      </c>
      <c r="CB81" s="2">
        <f t="shared" si="65"/>
        <v>0</v>
      </c>
      <c r="CC81" s="2">
        <f t="shared" si="65"/>
        <v>0</v>
      </c>
      <c r="CD81" s="2">
        <f t="shared" si="65"/>
        <v>12560131.58</v>
      </c>
      <c r="CE81" s="2">
        <f t="shared" si="65"/>
        <v>45897.31</v>
      </c>
      <c r="CF81" s="2">
        <f t="shared" si="65"/>
        <v>45897.31</v>
      </c>
      <c r="CG81" s="2">
        <f t="shared" si="65"/>
        <v>0</v>
      </c>
      <c r="CH81" s="2">
        <f t="shared" si="65"/>
        <v>45897.31</v>
      </c>
      <c r="CI81" s="2">
        <f t="shared" si="65"/>
        <v>0</v>
      </c>
      <c r="CJ81" s="2">
        <f t="shared" si="65"/>
        <v>0</v>
      </c>
      <c r="CK81" s="2">
        <f t="shared" si="65"/>
        <v>0</v>
      </c>
      <c r="CL81" s="2">
        <f t="shared" si="65"/>
        <v>0</v>
      </c>
      <c r="CM81" s="2">
        <f t="shared" si="65"/>
        <v>0</v>
      </c>
      <c r="CN81" s="2">
        <f t="shared" si="65"/>
        <v>0</v>
      </c>
      <c r="CO81" s="2">
        <f t="shared" si="65"/>
        <v>0</v>
      </c>
      <c r="CP81" s="2">
        <f t="shared" si="65"/>
        <v>0</v>
      </c>
      <c r="CQ81" s="2">
        <f t="shared" si="65"/>
        <v>0</v>
      </c>
      <c r="CR81" s="2">
        <f t="shared" si="65"/>
        <v>0</v>
      </c>
      <c r="CS81" s="2">
        <f t="shared" si="65"/>
        <v>0</v>
      </c>
      <c r="CT81" s="2">
        <f t="shared" si="65"/>
        <v>0</v>
      </c>
      <c r="CU81" s="2">
        <f t="shared" si="65"/>
        <v>0</v>
      </c>
      <c r="CV81" s="2">
        <f t="shared" si="65"/>
        <v>0</v>
      </c>
      <c r="CW81" s="2">
        <f t="shared" si="65"/>
        <v>0</v>
      </c>
      <c r="CX81" s="2">
        <f t="shared" si="65"/>
        <v>0</v>
      </c>
      <c r="CY81" s="2">
        <f t="shared" si="65"/>
        <v>0</v>
      </c>
      <c r="CZ81" s="2">
        <f t="shared" si="65"/>
        <v>0</v>
      </c>
      <c r="DA81" s="2">
        <f t="shared" si="65"/>
        <v>0</v>
      </c>
      <c r="DB81" s="2">
        <f t="shared" si="65"/>
        <v>0</v>
      </c>
      <c r="DC81" s="2">
        <f t="shared" si="65"/>
        <v>0</v>
      </c>
      <c r="DD81" s="2">
        <f t="shared" si="65"/>
        <v>0</v>
      </c>
      <c r="DE81" s="2">
        <f t="shared" si="65"/>
        <v>0</v>
      </c>
      <c r="DF81" s="2">
        <f t="shared" si="65"/>
        <v>0</v>
      </c>
      <c r="DG81" s="3">
        <f t="shared" ref="DG81:EL81" si="66">DG99</f>
        <v>0</v>
      </c>
      <c r="DH81" s="3">
        <f t="shared" si="66"/>
        <v>0</v>
      </c>
      <c r="DI81" s="3">
        <f t="shared" si="66"/>
        <v>0</v>
      </c>
      <c r="DJ81" s="3">
        <f t="shared" si="66"/>
        <v>0</v>
      </c>
      <c r="DK81" s="3">
        <f t="shared" si="66"/>
        <v>0</v>
      </c>
      <c r="DL81" s="3">
        <f t="shared" si="66"/>
        <v>0</v>
      </c>
      <c r="DM81" s="3">
        <f t="shared" si="66"/>
        <v>0</v>
      </c>
      <c r="DN81" s="3">
        <f t="shared" si="66"/>
        <v>0</v>
      </c>
      <c r="DO81" s="3">
        <f t="shared" si="66"/>
        <v>0</v>
      </c>
      <c r="DP81" s="3">
        <f t="shared" si="66"/>
        <v>0</v>
      </c>
      <c r="DQ81" s="3">
        <f t="shared" si="66"/>
        <v>0</v>
      </c>
      <c r="DR81" s="3">
        <f t="shared" si="66"/>
        <v>0</v>
      </c>
      <c r="DS81" s="3">
        <f t="shared" si="66"/>
        <v>0</v>
      </c>
      <c r="DT81" s="3">
        <f t="shared" si="66"/>
        <v>0</v>
      </c>
      <c r="DU81" s="3">
        <f t="shared" si="66"/>
        <v>0</v>
      </c>
      <c r="DV81" s="3">
        <f t="shared" si="66"/>
        <v>0</v>
      </c>
      <c r="DW81" s="3">
        <f t="shared" si="66"/>
        <v>0</v>
      </c>
      <c r="DX81" s="3">
        <f t="shared" si="66"/>
        <v>0</v>
      </c>
      <c r="DY81" s="3">
        <f t="shared" si="66"/>
        <v>0</v>
      </c>
      <c r="DZ81" s="3">
        <f t="shared" si="66"/>
        <v>0</v>
      </c>
      <c r="EA81" s="3">
        <f t="shared" si="66"/>
        <v>0</v>
      </c>
      <c r="EB81" s="3">
        <f t="shared" si="66"/>
        <v>0</v>
      </c>
      <c r="EC81" s="3">
        <f t="shared" si="66"/>
        <v>0</v>
      </c>
      <c r="ED81" s="3">
        <f t="shared" si="66"/>
        <v>0</v>
      </c>
      <c r="EE81" s="3">
        <f t="shared" si="66"/>
        <v>0</v>
      </c>
      <c r="EF81" s="3">
        <f t="shared" si="66"/>
        <v>0</v>
      </c>
      <c r="EG81" s="3">
        <f t="shared" si="66"/>
        <v>0</v>
      </c>
      <c r="EH81" s="3">
        <f t="shared" si="66"/>
        <v>0</v>
      </c>
      <c r="EI81" s="3">
        <f t="shared" si="66"/>
        <v>0</v>
      </c>
      <c r="EJ81" s="3">
        <f t="shared" si="66"/>
        <v>0</v>
      </c>
      <c r="EK81" s="3">
        <f t="shared" si="66"/>
        <v>0</v>
      </c>
      <c r="EL81" s="3">
        <f t="shared" si="66"/>
        <v>0</v>
      </c>
      <c r="EM81" s="3">
        <f t="shared" ref="EM81:FR81" si="67">EM99</f>
        <v>0</v>
      </c>
      <c r="EN81" s="3">
        <f t="shared" si="67"/>
        <v>0</v>
      </c>
      <c r="EO81" s="3">
        <f t="shared" si="67"/>
        <v>0</v>
      </c>
      <c r="EP81" s="3">
        <f t="shared" si="67"/>
        <v>0</v>
      </c>
      <c r="EQ81" s="3">
        <f t="shared" si="67"/>
        <v>0</v>
      </c>
      <c r="ER81" s="3">
        <f t="shared" si="67"/>
        <v>0</v>
      </c>
      <c r="ES81" s="3">
        <f t="shared" si="67"/>
        <v>0</v>
      </c>
      <c r="ET81" s="3">
        <f t="shared" si="67"/>
        <v>0</v>
      </c>
      <c r="EU81" s="3">
        <f t="shared" si="67"/>
        <v>0</v>
      </c>
      <c r="EV81" s="3">
        <f t="shared" si="67"/>
        <v>0</v>
      </c>
      <c r="EW81" s="3">
        <f t="shared" si="67"/>
        <v>0</v>
      </c>
      <c r="EX81" s="3">
        <f t="shared" si="67"/>
        <v>0</v>
      </c>
      <c r="EY81" s="3">
        <f t="shared" si="67"/>
        <v>0</v>
      </c>
      <c r="EZ81" s="3">
        <f t="shared" si="67"/>
        <v>0</v>
      </c>
      <c r="FA81" s="3">
        <f t="shared" si="67"/>
        <v>0</v>
      </c>
      <c r="FB81" s="3">
        <f t="shared" si="67"/>
        <v>0</v>
      </c>
      <c r="FC81" s="3">
        <f t="shared" si="67"/>
        <v>0</v>
      </c>
      <c r="FD81" s="3">
        <f t="shared" si="67"/>
        <v>0</v>
      </c>
      <c r="FE81" s="3">
        <f t="shared" si="67"/>
        <v>0</v>
      </c>
      <c r="FF81" s="3">
        <f t="shared" si="67"/>
        <v>0</v>
      </c>
      <c r="FG81" s="3">
        <f t="shared" si="67"/>
        <v>0</v>
      </c>
      <c r="FH81" s="3">
        <f t="shared" si="67"/>
        <v>0</v>
      </c>
      <c r="FI81" s="3">
        <f t="shared" si="67"/>
        <v>0</v>
      </c>
      <c r="FJ81" s="3">
        <f t="shared" si="67"/>
        <v>0</v>
      </c>
      <c r="FK81" s="3">
        <f t="shared" si="67"/>
        <v>0</v>
      </c>
      <c r="FL81" s="3">
        <f t="shared" si="67"/>
        <v>0</v>
      </c>
      <c r="FM81" s="3">
        <f t="shared" si="67"/>
        <v>0</v>
      </c>
      <c r="FN81" s="3">
        <f t="shared" si="67"/>
        <v>0</v>
      </c>
      <c r="FO81" s="3">
        <f t="shared" si="67"/>
        <v>0</v>
      </c>
      <c r="FP81" s="3">
        <f t="shared" si="67"/>
        <v>0</v>
      </c>
      <c r="FQ81" s="3">
        <f t="shared" si="67"/>
        <v>0</v>
      </c>
      <c r="FR81" s="3">
        <f t="shared" si="67"/>
        <v>0</v>
      </c>
      <c r="FS81" s="3">
        <f t="shared" ref="FS81:GX81" si="68">FS99</f>
        <v>0</v>
      </c>
      <c r="FT81" s="3">
        <f t="shared" si="68"/>
        <v>0</v>
      </c>
      <c r="FU81" s="3">
        <f t="shared" si="68"/>
        <v>0</v>
      </c>
      <c r="FV81" s="3">
        <f t="shared" si="68"/>
        <v>0</v>
      </c>
      <c r="FW81" s="3">
        <f t="shared" si="68"/>
        <v>0</v>
      </c>
      <c r="FX81" s="3">
        <f t="shared" si="68"/>
        <v>0</v>
      </c>
      <c r="FY81" s="3">
        <f t="shared" si="68"/>
        <v>0</v>
      </c>
      <c r="FZ81" s="3">
        <f t="shared" si="68"/>
        <v>0</v>
      </c>
      <c r="GA81" s="3">
        <f t="shared" si="68"/>
        <v>0</v>
      </c>
      <c r="GB81" s="3">
        <f t="shared" si="68"/>
        <v>0</v>
      </c>
      <c r="GC81" s="3">
        <f t="shared" si="68"/>
        <v>0</v>
      </c>
      <c r="GD81" s="3">
        <f t="shared" si="68"/>
        <v>0</v>
      </c>
      <c r="GE81" s="3">
        <f t="shared" si="68"/>
        <v>0</v>
      </c>
      <c r="GF81" s="3">
        <f t="shared" si="68"/>
        <v>0</v>
      </c>
      <c r="GG81" s="3">
        <f t="shared" si="68"/>
        <v>0</v>
      </c>
      <c r="GH81" s="3">
        <f t="shared" si="68"/>
        <v>0</v>
      </c>
      <c r="GI81" s="3">
        <f t="shared" si="68"/>
        <v>0</v>
      </c>
      <c r="GJ81" s="3">
        <f t="shared" si="68"/>
        <v>0</v>
      </c>
      <c r="GK81" s="3">
        <f t="shared" si="68"/>
        <v>0</v>
      </c>
      <c r="GL81" s="3">
        <f t="shared" si="68"/>
        <v>0</v>
      </c>
      <c r="GM81" s="3">
        <f t="shared" si="68"/>
        <v>0</v>
      </c>
      <c r="GN81" s="3">
        <f t="shared" si="68"/>
        <v>0</v>
      </c>
      <c r="GO81" s="3">
        <f t="shared" si="68"/>
        <v>0</v>
      </c>
      <c r="GP81" s="3">
        <f t="shared" si="68"/>
        <v>0</v>
      </c>
      <c r="GQ81" s="3">
        <f t="shared" si="68"/>
        <v>0</v>
      </c>
      <c r="GR81" s="3">
        <f t="shared" si="68"/>
        <v>0</v>
      </c>
      <c r="GS81" s="3">
        <f t="shared" si="68"/>
        <v>0</v>
      </c>
      <c r="GT81" s="3">
        <f t="shared" si="68"/>
        <v>0</v>
      </c>
      <c r="GU81" s="3">
        <f t="shared" si="68"/>
        <v>0</v>
      </c>
      <c r="GV81" s="3">
        <f t="shared" si="68"/>
        <v>0</v>
      </c>
      <c r="GW81" s="3">
        <f t="shared" si="68"/>
        <v>0</v>
      </c>
      <c r="GX81" s="3">
        <f t="shared" si="68"/>
        <v>0</v>
      </c>
    </row>
    <row r="83" spans="1:245" x14ac:dyDescent="0.25">
      <c r="A83">
        <v>17</v>
      </c>
      <c r="B83">
        <v>1</v>
      </c>
      <c r="C83">
        <f>ROW(SmtRes!A23)</f>
        <v>23</v>
      </c>
      <c r="D83">
        <f>ROW(EtalonRes!A23)</f>
        <v>23</v>
      </c>
      <c r="E83" t="s">
        <v>148</v>
      </c>
      <c r="F83" t="s">
        <v>32</v>
      </c>
      <c r="G83" t="s">
        <v>33</v>
      </c>
      <c r="H83" t="s">
        <v>20</v>
      </c>
      <c r="I83">
        <v>65.464799999999997</v>
      </c>
      <c r="J83">
        <v>0</v>
      </c>
      <c r="K83">
        <v>65.464799999999997</v>
      </c>
      <c r="O83">
        <f t="shared" ref="O83:O97" si="69">ROUND(CP83,2)</f>
        <v>5313012.53</v>
      </c>
      <c r="P83">
        <f t="shared" ref="P83:P97" si="70">ROUND(CQ83*I83,2)</f>
        <v>122691.51</v>
      </c>
      <c r="Q83">
        <f t="shared" ref="Q83:Q97" si="71">ROUND(CR83*I83,2)</f>
        <v>5190321.0199999996</v>
      </c>
      <c r="R83">
        <f t="shared" ref="R83:R97" si="72">ROUND(CS83*I83,2)</f>
        <v>2453270.4700000002</v>
      </c>
      <c r="S83">
        <f t="shared" ref="S83:S97" si="73">ROUND(CT83*I83,2)</f>
        <v>0</v>
      </c>
      <c r="T83">
        <f t="shared" ref="T83:T97" si="74">ROUND(CU83*I83,2)</f>
        <v>0</v>
      </c>
      <c r="U83">
        <f t="shared" ref="U83:U97" si="75">CV83*I83</f>
        <v>0</v>
      </c>
      <c r="V83">
        <f t="shared" ref="V83:V97" si="76">CW83*I83</f>
        <v>0</v>
      </c>
      <c r="W83">
        <f t="shared" ref="W83:W97" si="77">ROUND(CX83*I83,2)</f>
        <v>0</v>
      </c>
      <c r="X83">
        <f t="shared" ref="X83:X97" si="78">ROUND(CY83,2)</f>
        <v>0</v>
      </c>
      <c r="Y83">
        <f t="shared" ref="Y83:Y97" si="79">ROUND(CZ83,2)</f>
        <v>0</v>
      </c>
      <c r="AA83">
        <v>80890340</v>
      </c>
      <c r="AB83">
        <f t="shared" ref="AB83:AB97" si="80">ROUND((AC83+AD83+AF83),6)</f>
        <v>81158.31</v>
      </c>
      <c r="AC83">
        <f>ROUND(((ES83*171)),6)</f>
        <v>1874.16</v>
      </c>
      <c r="AD83">
        <f>ROUND(((((ET83*171))-((EU83*171)))+AE83),6)</f>
        <v>79284.149999999994</v>
      </c>
      <c r="AE83">
        <f>ROUND(((EU83*171)),6)</f>
        <v>37474.65</v>
      </c>
      <c r="AF83">
        <f>ROUND(((EV83*171)),6)</f>
        <v>0</v>
      </c>
      <c r="AG83">
        <f t="shared" ref="AG83:AG97" si="81">ROUND((AP83),6)</f>
        <v>0</v>
      </c>
      <c r="AH83">
        <f>((EW83*171))</f>
        <v>0</v>
      </c>
      <c r="AI83">
        <f>((EX83*171))</f>
        <v>0</v>
      </c>
      <c r="AJ83">
        <f t="shared" ref="AJ83:AJ97" si="82">(AS83)</f>
        <v>0</v>
      </c>
      <c r="AK83">
        <v>474.61</v>
      </c>
      <c r="AL83">
        <v>10.96</v>
      </c>
      <c r="AM83">
        <v>463.65</v>
      </c>
      <c r="AN83">
        <v>219.15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4</v>
      </c>
      <c r="BJ83" t="s">
        <v>34</v>
      </c>
      <c r="BM83">
        <v>0</v>
      </c>
      <c r="BN83">
        <v>0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ref="CP83:CP97" si="83">(P83+Q83+S83)</f>
        <v>5313012.5299999993</v>
      </c>
      <c r="CQ83">
        <f t="shared" ref="CQ83:CQ97" si="84">(AC83*BC83*AW83)</f>
        <v>1874.16</v>
      </c>
      <c r="CR83">
        <f>(((((ET83*171))*BB83-((EU83*171))*BS83)+AE83*BS83)*AV83)</f>
        <v>79284.149999999994</v>
      </c>
      <c r="CS83">
        <f t="shared" ref="CS83:CS97" si="85">(AE83*BS83*AV83)</f>
        <v>37474.65</v>
      </c>
      <c r="CT83">
        <f t="shared" ref="CT83:CT97" si="86">(AF83*BA83*AV83)</f>
        <v>0</v>
      </c>
      <c r="CU83">
        <f t="shared" ref="CU83:CU97" si="87">AG83</f>
        <v>0</v>
      </c>
      <c r="CV83">
        <f t="shared" ref="CV83:CV97" si="88">(AH83*AV83)</f>
        <v>0</v>
      </c>
      <c r="CW83">
        <f t="shared" ref="CW83:CW97" si="89">AI83</f>
        <v>0</v>
      </c>
      <c r="CX83">
        <f t="shared" ref="CX83:CX97" si="90">AJ83</f>
        <v>0</v>
      </c>
      <c r="CY83">
        <f t="shared" ref="CY83:CY97" si="91">((S83*BZ83)/100)</f>
        <v>0</v>
      </c>
      <c r="CZ83">
        <f t="shared" ref="CZ83:CZ97" si="92">((S83*CA83)/100)</f>
        <v>0</v>
      </c>
      <c r="DC83" t="s">
        <v>3</v>
      </c>
      <c r="DD83" t="s">
        <v>149</v>
      </c>
      <c r="DE83" t="s">
        <v>149</v>
      </c>
      <c r="DF83" t="s">
        <v>149</v>
      </c>
      <c r="DG83" t="s">
        <v>149</v>
      </c>
      <c r="DH83" t="s">
        <v>3</v>
      </c>
      <c r="DI83" t="s">
        <v>149</v>
      </c>
      <c r="DJ83" t="s">
        <v>149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1005</v>
      </c>
      <c r="DV83" t="s">
        <v>20</v>
      </c>
      <c r="DW83" t="s">
        <v>20</v>
      </c>
      <c r="DX83">
        <v>1000</v>
      </c>
      <c r="DZ83" t="s">
        <v>3</v>
      </c>
      <c r="EA83" t="s">
        <v>3</v>
      </c>
      <c r="EB83" t="s">
        <v>3</v>
      </c>
      <c r="EC83" t="s">
        <v>3</v>
      </c>
      <c r="EE83">
        <v>80196140</v>
      </c>
      <c r="EF83">
        <v>1</v>
      </c>
      <c r="EG83" t="s">
        <v>23</v>
      </c>
      <c r="EH83">
        <v>0</v>
      </c>
      <c r="EI83" t="s">
        <v>3</v>
      </c>
      <c r="EJ83">
        <v>4</v>
      </c>
      <c r="EK83">
        <v>0</v>
      </c>
      <c r="EL83" t="s">
        <v>24</v>
      </c>
      <c r="EM83" t="s">
        <v>25</v>
      </c>
      <c r="EO83" t="s">
        <v>3</v>
      </c>
      <c r="EQ83">
        <v>0</v>
      </c>
      <c r="ER83">
        <v>474.61</v>
      </c>
      <c r="ES83">
        <v>10.96</v>
      </c>
      <c r="ET83">
        <v>463.65</v>
      </c>
      <c r="EU83">
        <v>219.15</v>
      </c>
      <c r="EV83">
        <v>0</v>
      </c>
      <c r="EW83">
        <v>0</v>
      </c>
      <c r="EX83">
        <v>0</v>
      </c>
      <c r="EY83">
        <v>0</v>
      </c>
      <c r="FQ83">
        <v>0</v>
      </c>
      <c r="FR83"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-64890484</v>
      </c>
      <c r="GG83">
        <v>2</v>
      </c>
      <c r="GH83">
        <v>1</v>
      </c>
      <c r="GI83">
        <v>-2</v>
      </c>
      <c r="GJ83">
        <v>0</v>
      </c>
      <c r="GK83">
        <f>ROUND(R83*(R12)/100,2)</f>
        <v>2649532.11</v>
      </c>
      <c r="GL83">
        <f t="shared" ref="GL83:GL97" si="93">ROUND(IF(AND(BH83=3,BI83=3,FS83&lt;&gt;0),P83,0),2)</f>
        <v>0</v>
      </c>
      <c r="GM83">
        <f t="shared" ref="GM83:GM97" si="94">ROUND(O83+X83+Y83+GK83,2)+GX83</f>
        <v>7962544.6399999997</v>
      </c>
      <c r="GN83">
        <f t="shared" ref="GN83:GN97" si="95">IF(OR(BI83=0,BI83=1),GM83-GX83,0)</f>
        <v>0</v>
      </c>
      <c r="GO83">
        <f t="shared" ref="GO83:GO97" si="96">IF(BI83=2,GM83-GX83,0)</f>
        <v>0</v>
      </c>
      <c r="GP83">
        <f t="shared" ref="GP83:GP97" si="97">IF(BI83=4,GM83-GX83,0)</f>
        <v>7962544.6399999997</v>
      </c>
      <c r="GR83">
        <v>0</v>
      </c>
      <c r="GS83">
        <v>3</v>
      </c>
      <c r="GT83">
        <v>0</v>
      </c>
      <c r="GU83" t="s">
        <v>3</v>
      </c>
      <c r="GV83">
        <f t="shared" ref="GV83:GV97" si="98">ROUND((GT83),6)</f>
        <v>0</v>
      </c>
      <c r="GW83">
        <v>1</v>
      </c>
      <c r="GX83">
        <f t="shared" ref="GX83:GX97" si="99">ROUND(HC83*I83,2)</f>
        <v>0</v>
      </c>
      <c r="HA83">
        <v>0</v>
      </c>
      <c r="HB83">
        <v>0</v>
      </c>
      <c r="HC83">
        <f t="shared" ref="HC83:HC97" si="100">GV83*GW83</f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HS83">
        <v>0</v>
      </c>
      <c r="IK83">
        <v>0</v>
      </c>
    </row>
    <row r="84" spans="1:245" x14ac:dyDescent="0.25">
      <c r="A84">
        <v>18</v>
      </c>
      <c r="B84">
        <v>1</v>
      </c>
      <c r="C84">
        <v>23</v>
      </c>
      <c r="E84" t="s">
        <v>150</v>
      </c>
      <c r="F84" t="s">
        <v>37</v>
      </c>
      <c r="G84" t="s">
        <v>38</v>
      </c>
      <c r="H84" t="s">
        <v>39</v>
      </c>
      <c r="I84">
        <f>I83*J84</f>
        <v>-2238.8961599999998</v>
      </c>
      <c r="J84">
        <v>-34.199999999999996</v>
      </c>
      <c r="K84">
        <v>-0.2</v>
      </c>
      <c r="O84">
        <f t="shared" si="69"/>
        <v>-122713.9</v>
      </c>
      <c r="P84">
        <f t="shared" si="70"/>
        <v>-122713.9</v>
      </c>
      <c r="Q84">
        <f t="shared" si="71"/>
        <v>0</v>
      </c>
      <c r="R84">
        <f t="shared" si="72"/>
        <v>0</v>
      </c>
      <c r="S84">
        <f t="shared" si="73"/>
        <v>0</v>
      </c>
      <c r="T84">
        <f t="shared" si="74"/>
        <v>0</v>
      </c>
      <c r="U84">
        <f t="shared" si="75"/>
        <v>0</v>
      </c>
      <c r="V84">
        <f t="shared" si="76"/>
        <v>0</v>
      </c>
      <c r="W84">
        <f t="shared" si="77"/>
        <v>0</v>
      </c>
      <c r="X84">
        <f t="shared" si="78"/>
        <v>0</v>
      </c>
      <c r="Y84">
        <f t="shared" si="79"/>
        <v>0</v>
      </c>
      <c r="AA84">
        <v>80890340</v>
      </c>
      <c r="AB84">
        <f t="shared" si="80"/>
        <v>54.81</v>
      </c>
      <c r="AC84">
        <f>ROUND((ES84),6)</f>
        <v>54.81</v>
      </c>
      <c r="AD84">
        <f>ROUND((((ET84)-(EU84))+AE84),6)</f>
        <v>0</v>
      </c>
      <c r="AE84">
        <f>ROUND((EU84),6)</f>
        <v>0</v>
      </c>
      <c r="AF84">
        <f>ROUND((EV84),6)</f>
        <v>0</v>
      </c>
      <c r="AG84">
        <f t="shared" si="81"/>
        <v>0</v>
      </c>
      <c r="AH84">
        <f>(EW84)</f>
        <v>0</v>
      </c>
      <c r="AI84">
        <f>(EX84)</f>
        <v>0</v>
      </c>
      <c r="AJ84">
        <f t="shared" si="82"/>
        <v>0</v>
      </c>
      <c r="AK84">
        <v>54.81</v>
      </c>
      <c r="AL84">
        <v>54.81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70</v>
      </c>
      <c r="AU84">
        <v>10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3</v>
      </c>
      <c r="BI84">
        <v>4</v>
      </c>
      <c r="BJ84" t="s">
        <v>40</v>
      </c>
      <c r="BM84">
        <v>0</v>
      </c>
      <c r="BN84">
        <v>0</v>
      </c>
      <c r="BO84" t="s">
        <v>3</v>
      </c>
      <c r="BP84">
        <v>0</v>
      </c>
      <c r="BQ84">
        <v>1</v>
      </c>
      <c r="BR84">
        <v>1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70</v>
      </c>
      <c r="CA84">
        <v>10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83"/>
        <v>-122713.9</v>
      </c>
      <c r="CQ84">
        <f t="shared" si="84"/>
        <v>54.81</v>
      </c>
      <c r="CR84">
        <f>((((ET84)*BB84-(EU84)*BS84)+AE84*BS84)*AV84)</f>
        <v>0</v>
      </c>
      <c r="CS84">
        <f t="shared" si="85"/>
        <v>0</v>
      </c>
      <c r="CT84">
        <f t="shared" si="86"/>
        <v>0</v>
      </c>
      <c r="CU84">
        <f t="shared" si="87"/>
        <v>0</v>
      </c>
      <c r="CV84">
        <f t="shared" si="88"/>
        <v>0</v>
      </c>
      <c r="CW84">
        <f t="shared" si="89"/>
        <v>0</v>
      </c>
      <c r="CX84">
        <f t="shared" si="90"/>
        <v>0</v>
      </c>
      <c r="CY84">
        <f t="shared" si="91"/>
        <v>0</v>
      </c>
      <c r="CZ84">
        <f t="shared" si="92"/>
        <v>0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1007</v>
      </c>
      <c r="DV84" t="s">
        <v>39</v>
      </c>
      <c r="DW84" t="s">
        <v>39</v>
      </c>
      <c r="DX84">
        <v>1</v>
      </c>
      <c r="DZ84" t="s">
        <v>3</v>
      </c>
      <c r="EA84" t="s">
        <v>3</v>
      </c>
      <c r="EB84" t="s">
        <v>3</v>
      </c>
      <c r="EC84" t="s">
        <v>3</v>
      </c>
      <c r="EE84">
        <v>80196140</v>
      </c>
      <c r="EF84">
        <v>1</v>
      </c>
      <c r="EG84" t="s">
        <v>23</v>
      </c>
      <c r="EH84">
        <v>0</v>
      </c>
      <c r="EI84" t="s">
        <v>3</v>
      </c>
      <c r="EJ84">
        <v>4</v>
      </c>
      <c r="EK84">
        <v>0</v>
      </c>
      <c r="EL84" t="s">
        <v>24</v>
      </c>
      <c r="EM84" t="s">
        <v>25</v>
      </c>
      <c r="EO84" t="s">
        <v>3</v>
      </c>
      <c r="EQ84">
        <v>0</v>
      </c>
      <c r="ER84">
        <v>54.81</v>
      </c>
      <c r="ES84">
        <v>54.81</v>
      </c>
      <c r="ET84">
        <v>0</v>
      </c>
      <c r="EU84">
        <v>0</v>
      </c>
      <c r="EV84">
        <v>0</v>
      </c>
      <c r="EW84">
        <v>0</v>
      </c>
      <c r="EX84">
        <v>0</v>
      </c>
      <c r="FQ84">
        <v>0</v>
      </c>
      <c r="FR84">
        <v>0</v>
      </c>
      <c r="FS84">
        <v>0</v>
      </c>
      <c r="FX84">
        <v>70</v>
      </c>
      <c r="FY84">
        <v>10</v>
      </c>
      <c r="GA84" t="s">
        <v>3</v>
      </c>
      <c r="GD84">
        <v>0</v>
      </c>
      <c r="GF84">
        <v>2112060389</v>
      </c>
      <c r="GG84">
        <v>2</v>
      </c>
      <c r="GH84">
        <v>1</v>
      </c>
      <c r="GI84">
        <v>-2</v>
      </c>
      <c r="GJ84">
        <v>0</v>
      </c>
      <c r="GK84">
        <f>ROUND(R84*(R12)/100,2)</f>
        <v>0</v>
      </c>
      <c r="GL84">
        <f t="shared" si="93"/>
        <v>0</v>
      </c>
      <c r="GM84">
        <f t="shared" si="94"/>
        <v>-122713.9</v>
      </c>
      <c r="GN84">
        <f t="shared" si="95"/>
        <v>0</v>
      </c>
      <c r="GO84">
        <f t="shared" si="96"/>
        <v>0</v>
      </c>
      <c r="GP84">
        <f t="shared" si="97"/>
        <v>-122713.9</v>
      </c>
      <c r="GR84">
        <v>0</v>
      </c>
      <c r="GS84">
        <v>3</v>
      </c>
      <c r="GT84">
        <v>0</v>
      </c>
      <c r="GU84" t="s">
        <v>3</v>
      </c>
      <c r="GV84">
        <f t="shared" si="98"/>
        <v>0</v>
      </c>
      <c r="GW84">
        <v>1</v>
      </c>
      <c r="GX84">
        <f t="shared" si="99"/>
        <v>0</v>
      </c>
      <c r="HA84">
        <v>0</v>
      </c>
      <c r="HB84">
        <v>0</v>
      </c>
      <c r="HC84">
        <f t="shared" si="100"/>
        <v>0</v>
      </c>
      <c r="HE84" t="s">
        <v>3</v>
      </c>
      <c r="HF84" t="s">
        <v>3</v>
      </c>
      <c r="HM84" t="s">
        <v>149</v>
      </c>
      <c r="HN84" t="s">
        <v>3</v>
      </c>
      <c r="HO84" t="s">
        <v>3</v>
      </c>
      <c r="HP84" t="s">
        <v>3</v>
      </c>
      <c r="HQ84" t="s">
        <v>3</v>
      </c>
      <c r="HS84">
        <v>0</v>
      </c>
      <c r="IK84">
        <v>0</v>
      </c>
    </row>
    <row r="85" spans="1:245" x14ac:dyDescent="0.25">
      <c r="A85">
        <v>17</v>
      </c>
      <c r="B85">
        <v>1</v>
      </c>
      <c r="C85">
        <f>ROW(SmtRes!A24)</f>
        <v>24</v>
      </c>
      <c r="D85">
        <f>ROW(EtalonRes!A24)</f>
        <v>24</v>
      </c>
      <c r="E85" t="s">
        <v>151</v>
      </c>
      <c r="F85" t="s">
        <v>42</v>
      </c>
      <c r="G85" t="s">
        <v>43</v>
      </c>
      <c r="H85" t="s">
        <v>29</v>
      </c>
      <c r="I85">
        <v>163.66200000000001</v>
      </c>
      <c r="J85">
        <v>0</v>
      </c>
      <c r="K85">
        <v>163.66200000000001</v>
      </c>
      <c r="O85">
        <f t="shared" si="69"/>
        <v>1775444.65</v>
      </c>
      <c r="P85">
        <f t="shared" si="70"/>
        <v>0</v>
      </c>
      <c r="Q85">
        <f t="shared" si="71"/>
        <v>0</v>
      </c>
      <c r="R85">
        <f t="shared" si="72"/>
        <v>0</v>
      </c>
      <c r="S85">
        <f t="shared" si="73"/>
        <v>1775444.65</v>
      </c>
      <c r="T85">
        <f t="shared" si="74"/>
        <v>0</v>
      </c>
      <c r="U85">
        <f t="shared" si="75"/>
        <v>3918.0682800000004</v>
      </c>
      <c r="V85">
        <f t="shared" si="76"/>
        <v>0</v>
      </c>
      <c r="W85">
        <f t="shared" si="77"/>
        <v>0</v>
      </c>
      <c r="X85">
        <f t="shared" si="78"/>
        <v>1242811.26</v>
      </c>
      <c r="Y85">
        <f t="shared" si="79"/>
        <v>177544.47</v>
      </c>
      <c r="AA85">
        <v>80890340</v>
      </c>
      <c r="AB85">
        <f t="shared" si="80"/>
        <v>10848.24</v>
      </c>
      <c r="AC85">
        <f>ROUND(((ES85*171)),6)</f>
        <v>0</v>
      </c>
      <c r="AD85">
        <f>ROUND(((((ET85*171))-((EU85*171)))+AE85),6)</f>
        <v>0</v>
      </c>
      <c r="AE85">
        <f t="shared" ref="AE85:AF87" si="101">ROUND(((EU85*171)),6)</f>
        <v>0</v>
      </c>
      <c r="AF85">
        <f t="shared" si="101"/>
        <v>10848.24</v>
      </c>
      <c r="AG85">
        <f t="shared" si="81"/>
        <v>0</v>
      </c>
      <c r="AH85">
        <f t="shared" ref="AH85:AI87" si="102">((EW85*171))</f>
        <v>23.94</v>
      </c>
      <c r="AI85">
        <f t="shared" si="102"/>
        <v>0</v>
      </c>
      <c r="AJ85">
        <f t="shared" si="82"/>
        <v>0</v>
      </c>
      <c r="AK85">
        <v>63.44</v>
      </c>
      <c r="AL85">
        <v>0</v>
      </c>
      <c r="AM85">
        <v>0</v>
      </c>
      <c r="AN85">
        <v>0</v>
      </c>
      <c r="AO85">
        <v>63.44</v>
      </c>
      <c r="AP85">
        <v>0</v>
      </c>
      <c r="AQ85">
        <v>0.14000000000000001</v>
      </c>
      <c r="AR85">
        <v>0</v>
      </c>
      <c r="AS85">
        <v>0</v>
      </c>
      <c r="AT85">
        <v>70</v>
      </c>
      <c r="AU85">
        <v>10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4</v>
      </c>
      <c r="BJ85" t="s">
        <v>44</v>
      </c>
      <c r="BM85">
        <v>0</v>
      </c>
      <c r="BN85">
        <v>0</v>
      </c>
      <c r="BO85" t="s">
        <v>3</v>
      </c>
      <c r="BP85">
        <v>0</v>
      </c>
      <c r="BQ85">
        <v>1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70</v>
      </c>
      <c r="CA85">
        <v>10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83"/>
        <v>1775444.65</v>
      </c>
      <c r="CQ85">
        <f t="shared" si="84"/>
        <v>0</v>
      </c>
      <c r="CR85">
        <f>(((((ET85*171))*BB85-((EU85*171))*BS85)+AE85*BS85)*AV85)</f>
        <v>0</v>
      </c>
      <c r="CS85">
        <f t="shared" si="85"/>
        <v>0</v>
      </c>
      <c r="CT85">
        <f t="shared" si="86"/>
        <v>10848.24</v>
      </c>
      <c r="CU85">
        <f t="shared" si="87"/>
        <v>0</v>
      </c>
      <c r="CV85">
        <f t="shared" si="88"/>
        <v>23.94</v>
      </c>
      <c r="CW85">
        <f t="shared" si="89"/>
        <v>0</v>
      </c>
      <c r="CX85">
        <f t="shared" si="90"/>
        <v>0</v>
      </c>
      <c r="CY85">
        <f t="shared" si="91"/>
        <v>1242811.2549999999</v>
      </c>
      <c r="CZ85">
        <f t="shared" si="92"/>
        <v>177544.465</v>
      </c>
      <c r="DC85" t="s">
        <v>3</v>
      </c>
      <c r="DD85" t="s">
        <v>149</v>
      </c>
      <c r="DE85" t="s">
        <v>149</v>
      </c>
      <c r="DF85" t="s">
        <v>149</v>
      </c>
      <c r="DG85" t="s">
        <v>149</v>
      </c>
      <c r="DH85" t="s">
        <v>3</v>
      </c>
      <c r="DI85" t="s">
        <v>149</v>
      </c>
      <c r="DJ85" t="s">
        <v>149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1005</v>
      </c>
      <c r="DV85" t="s">
        <v>29</v>
      </c>
      <c r="DW85" t="s">
        <v>29</v>
      </c>
      <c r="DX85">
        <v>100</v>
      </c>
      <c r="DZ85" t="s">
        <v>3</v>
      </c>
      <c r="EA85" t="s">
        <v>3</v>
      </c>
      <c r="EB85" t="s">
        <v>3</v>
      </c>
      <c r="EC85" t="s">
        <v>3</v>
      </c>
      <c r="EE85">
        <v>80196140</v>
      </c>
      <c r="EF85">
        <v>1</v>
      </c>
      <c r="EG85" t="s">
        <v>23</v>
      </c>
      <c r="EH85">
        <v>0</v>
      </c>
      <c r="EI85" t="s">
        <v>3</v>
      </c>
      <c r="EJ85">
        <v>4</v>
      </c>
      <c r="EK85">
        <v>0</v>
      </c>
      <c r="EL85" t="s">
        <v>24</v>
      </c>
      <c r="EM85" t="s">
        <v>25</v>
      </c>
      <c r="EO85" t="s">
        <v>3</v>
      </c>
      <c r="EQ85">
        <v>0</v>
      </c>
      <c r="ER85">
        <v>63.44</v>
      </c>
      <c r="ES85">
        <v>0</v>
      </c>
      <c r="ET85">
        <v>0</v>
      </c>
      <c r="EU85">
        <v>0</v>
      </c>
      <c r="EV85">
        <v>63.44</v>
      </c>
      <c r="EW85">
        <v>0.14000000000000001</v>
      </c>
      <c r="EX85">
        <v>0</v>
      </c>
      <c r="EY85">
        <v>0</v>
      </c>
      <c r="FQ85">
        <v>0</v>
      </c>
      <c r="FR85">
        <v>0</v>
      </c>
      <c r="FS85">
        <v>0</v>
      </c>
      <c r="FX85">
        <v>70</v>
      </c>
      <c r="FY85">
        <v>10</v>
      </c>
      <c r="GA85" t="s">
        <v>3</v>
      </c>
      <c r="GD85">
        <v>0</v>
      </c>
      <c r="GF85">
        <v>-502436687</v>
      </c>
      <c r="GG85">
        <v>2</v>
      </c>
      <c r="GH85">
        <v>1</v>
      </c>
      <c r="GI85">
        <v>-2</v>
      </c>
      <c r="GJ85">
        <v>0</v>
      </c>
      <c r="GK85">
        <f>ROUND(R85*(R12)/100,2)</f>
        <v>0</v>
      </c>
      <c r="GL85">
        <f t="shared" si="93"/>
        <v>0</v>
      </c>
      <c r="GM85">
        <f t="shared" si="94"/>
        <v>3195800.38</v>
      </c>
      <c r="GN85">
        <f t="shared" si="95"/>
        <v>0</v>
      </c>
      <c r="GO85">
        <f t="shared" si="96"/>
        <v>0</v>
      </c>
      <c r="GP85">
        <f t="shared" si="97"/>
        <v>3195800.38</v>
      </c>
      <c r="GR85">
        <v>0</v>
      </c>
      <c r="GS85">
        <v>3</v>
      </c>
      <c r="GT85">
        <v>0</v>
      </c>
      <c r="GU85" t="s">
        <v>3</v>
      </c>
      <c r="GV85">
        <f t="shared" si="98"/>
        <v>0</v>
      </c>
      <c r="GW85">
        <v>1</v>
      </c>
      <c r="GX85">
        <f t="shared" si="99"/>
        <v>0</v>
      </c>
      <c r="HA85">
        <v>0</v>
      </c>
      <c r="HB85">
        <v>0</v>
      </c>
      <c r="HC85">
        <f t="shared" si="100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HS85">
        <v>0</v>
      </c>
      <c r="IK85">
        <v>0</v>
      </c>
    </row>
    <row r="86" spans="1:245" x14ac:dyDescent="0.25">
      <c r="A86">
        <v>17</v>
      </c>
      <c r="B86">
        <v>1</v>
      </c>
      <c r="C86">
        <f>ROW(SmtRes!A25)</f>
        <v>25</v>
      </c>
      <c r="D86">
        <f>ROW(EtalonRes!A25)</f>
        <v>25</v>
      </c>
      <c r="E86" t="s">
        <v>152</v>
      </c>
      <c r="F86" t="s">
        <v>46</v>
      </c>
      <c r="G86" t="s">
        <v>47</v>
      </c>
      <c r="H86" t="s">
        <v>29</v>
      </c>
      <c r="I86">
        <f>ROUND(94.55/100,9)</f>
        <v>0.94550000000000001</v>
      </c>
      <c r="J86">
        <v>0</v>
      </c>
      <c r="K86">
        <f>ROUND(94.55/100,9)</f>
        <v>0.94550000000000001</v>
      </c>
      <c r="O86">
        <f t="shared" si="69"/>
        <v>17582.75</v>
      </c>
      <c r="P86">
        <f t="shared" si="70"/>
        <v>0</v>
      </c>
      <c r="Q86">
        <f t="shared" si="71"/>
        <v>0</v>
      </c>
      <c r="R86">
        <f t="shared" si="72"/>
        <v>0</v>
      </c>
      <c r="S86">
        <f t="shared" si="73"/>
        <v>17582.75</v>
      </c>
      <c r="T86">
        <f t="shared" si="74"/>
        <v>0</v>
      </c>
      <c r="U86">
        <f t="shared" si="75"/>
        <v>38.803319999999999</v>
      </c>
      <c r="V86">
        <f t="shared" si="76"/>
        <v>0</v>
      </c>
      <c r="W86">
        <f t="shared" si="77"/>
        <v>0</v>
      </c>
      <c r="X86">
        <f t="shared" si="78"/>
        <v>12307.93</v>
      </c>
      <c r="Y86">
        <f t="shared" si="79"/>
        <v>1758.28</v>
      </c>
      <c r="AA86">
        <v>80890340</v>
      </c>
      <c r="AB86">
        <f t="shared" si="80"/>
        <v>18596.25</v>
      </c>
      <c r="AC86">
        <f>ROUND(((ES86*171)),6)</f>
        <v>0</v>
      </c>
      <c r="AD86">
        <f>ROUND(((((ET86*171))-((EU86*171)))+AE86),6)</f>
        <v>0</v>
      </c>
      <c r="AE86">
        <f t="shared" si="101"/>
        <v>0</v>
      </c>
      <c r="AF86">
        <f t="shared" si="101"/>
        <v>18596.25</v>
      </c>
      <c r="AG86">
        <f t="shared" si="81"/>
        <v>0</v>
      </c>
      <c r="AH86">
        <f t="shared" si="102"/>
        <v>41.04</v>
      </c>
      <c r="AI86">
        <f t="shared" si="102"/>
        <v>0</v>
      </c>
      <c r="AJ86">
        <f t="shared" si="82"/>
        <v>0</v>
      </c>
      <c r="AK86">
        <v>108.75</v>
      </c>
      <c r="AL86">
        <v>0</v>
      </c>
      <c r="AM86">
        <v>0</v>
      </c>
      <c r="AN86">
        <v>0</v>
      </c>
      <c r="AO86">
        <v>108.75</v>
      </c>
      <c r="AP86">
        <v>0</v>
      </c>
      <c r="AQ86">
        <v>0.24</v>
      </c>
      <c r="AR86">
        <v>0</v>
      </c>
      <c r="AS86">
        <v>0</v>
      </c>
      <c r="AT86">
        <v>70</v>
      </c>
      <c r="AU86">
        <v>10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4</v>
      </c>
      <c r="BJ86" t="s">
        <v>48</v>
      </c>
      <c r="BM86">
        <v>0</v>
      </c>
      <c r="BN86">
        <v>0</v>
      </c>
      <c r="BO86" t="s">
        <v>3</v>
      </c>
      <c r="BP86">
        <v>0</v>
      </c>
      <c r="BQ86">
        <v>1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70</v>
      </c>
      <c r="CA86">
        <v>10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83"/>
        <v>17582.75</v>
      </c>
      <c r="CQ86">
        <f t="shared" si="84"/>
        <v>0</v>
      </c>
      <c r="CR86">
        <f>(((((ET86*171))*BB86-((EU86*171))*BS86)+AE86*BS86)*AV86)</f>
        <v>0</v>
      </c>
      <c r="CS86">
        <f t="shared" si="85"/>
        <v>0</v>
      </c>
      <c r="CT86">
        <f t="shared" si="86"/>
        <v>18596.25</v>
      </c>
      <c r="CU86">
        <f t="shared" si="87"/>
        <v>0</v>
      </c>
      <c r="CV86">
        <f t="shared" si="88"/>
        <v>41.04</v>
      </c>
      <c r="CW86">
        <f t="shared" si="89"/>
        <v>0</v>
      </c>
      <c r="CX86">
        <f t="shared" si="90"/>
        <v>0</v>
      </c>
      <c r="CY86">
        <f t="shared" si="91"/>
        <v>12307.924999999999</v>
      </c>
      <c r="CZ86">
        <f t="shared" si="92"/>
        <v>1758.2750000000001</v>
      </c>
      <c r="DC86" t="s">
        <v>3</v>
      </c>
      <c r="DD86" t="s">
        <v>149</v>
      </c>
      <c r="DE86" t="s">
        <v>149</v>
      </c>
      <c r="DF86" t="s">
        <v>149</v>
      </c>
      <c r="DG86" t="s">
        <v>149</v>
      </c>
      <c r="DH86" t="s">
        <v>3</v>
      </c>
      <c r="DI86" t="s">
        <v>149</v>
      </c>
      <c r="DJ86" t="s">
        <v>149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1005</v>
      </c>
      <c r="DV86" t="s">
        <v>29</v>
      </c>
      <c r="DW86" t="s">
        <v>29</v>
      </c>
      <c r="DX86">
        <v>100</v>
      </c>
      <c r="DZ86" t="s">
        <v>3</v>
      </c>
      <c r="EA86" t="s">
        <v>3</v>
      </c>
      <c r="EB86" t="s">
        <v>3</v>
      </c>
      <c r="EC86" t="s">
        <v>3</v>
      </c>
      <c r="EE86">
        <v>80196140</v>
      </c>
      <c r="EF86">
        <v>1</v>
      </c>
      <c r="EG86" t="s">
        <v>23</v>
      </c>
      <c r="EH86">
        <v>0</v>
      </c>
      <c r="EI86" t="s">
        <v>3</v>
      </c>
      <c r="EJ86">
        <v>4</v>
      </c>
      <c r="EK86">
        <v>0</v>
      </c>
      <c r="EL86" t="s">
        <v>24</v>
      </c>
      <c r="EM86" t="s">
        <v>25</v>
      </c>
      <c r="EO86" t="s">
        <v>3</v>
      </c>
      <c r="EQ86">
        <v>0</v>
      </c>
      <c r="ER86">
        <v>108.75</v>
      </c>
      <c r="ES86">
        <v>0</v>
      </c>
      <c r="ET86">
        <v>0</v>
      </c>
      <c r="EU86">
        <v>0</v>
      </c>
      <c r="EV86">
        <v>108.75</v>
      </c>
      <c r="EW86">
        <v>0.24</v>
      </c>
      <c r="EX86">
        <v>0</v>
      </c>
      <c r="EY86">
        <v>0</v>
      </c>
      <c r="FQ86">
        <v>0</v>
      </c>
      <c r="FR86">
        <v>0</v>
      </c>
      <c r="FS86">
        <v>0</v>
      </c>
      <c r="FX86">
        <v>70</v>
      </c>
      <c r="FY86">
        <v>10</v>
      </c>
      <c r="GA86" t="s">
        <v>3</v>
      </c>
      <c r="GD86">
        <v>0</v>
      </c>
      <c r="GF86">
        <v>-2145585580</v>
      </c>
      <c r="GG86">
        <v>2</v>
      </c>
      <c r="GH86">
        <v>1</v>
      </c>
      <c r="GI86">
        <v>-2</v>
      </c>
      <c r="GJ86">
        <v>0</v>
      </c>
      <c r="GK86">
        <f>ROUND(R86*(R12)/100,2)</f>
        <v>0</v>
      </c>
      <c r="GL86">
        <f t="shared" si="93"/>
        <v>0</v>
      </c>
      <c r="GM86">
        <f t="shared" si="94"/>
        <v>31648.959999999999</v>
      </c>
      <c r="GN86">
        <f t="shared" si="95"/>
        <v>0</v>
      </c>
      <c r="GO86">
        <f t="shared" si="96"/>
        <v>0</v>
      </c>
      <c r="GP86">
        <f t="shared" si="97"/>
        <v>31648.959999999999</v>
      </c>
      <c r="GR86">
        <v>0</v>
      </c>
      <c r="GS86">
        <v>3</v>
      </c>
      <c r="GT86">
        <v>0</v>
      </c>
      <c r="GU86" t="s">
        <v>3</v>
      </c>
      <c r="GV86">
        <f t="shared" si="98"/>
        <v>0</v>
      </c>
      <c r="GW86">
        <v>1</v>
      </c>
      <c r="GX86">
        <f t="shared" si="99"/>
        <v>0</v>
      </c>
      <c r="HA86">
        <v>0</v>
      </c>
      <c r="HB86">
        <v>0</v>
      </c>
      <c r="HC86">
        <f t="shared" si="100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HS86">
        <v>0</v>
      </c>
      <c r="IK86">
        <v>0</v>
      </c>
    </row>
    <row r="87" spans="1:245" x14ac:dyDescent="0.25">
      <c r="A87">
        <v>17</v>
      </c>
      <c r="B87">
        <v>1</v>
      </c>
      <c r="C87">
        <f>ROW(SmtRes!A27)</f>
        <v>27</v>
      </c>
      <c r="D87">
        <f>ROW(EtalonRes!A27)</f>
        <v>27</v>
      </c>
      <c r="E87" t="s">
        <v>153</v>
      </c>
      <c r="F87" t="s">
        <v>154</v>
      </c>
      <c r="G87" t="s">
        <v>155</v>
      </c>
      <c r="H87" t="s">
        <v>29</v>
      </c>
      <c r="I87">
        <v>7.16</v>
      </c>
      <c r="J87">
        <v>0</v>
      </c>
      <c r="K87">
        <v>7.16</v>
      </c>
      <c r="O87">
        <f t="shared" si="69"/>
        <v>95083.8</v>
      </c>
      <c r="P87">
        <f t="shared" si="70"/>
        <v>3366.99</v>
      </c>
      <c r="Q87">
        <f t="shared" si="71"/>
        <v>0</v>
      </c>
      <c r="R87">
        <f t="shared" si="72"/>
        <v>0</v>
      </c>
      <c r="S87">
        <f t="shared" si="73"/>
        <v>91716.81</v>
      </c>
      <c r="T87">
        <f t="shared" si="74"/>
        <v>0</v>
      </c>
      <c r="U87">
        <f t="shared" si="75"/>
        <v>281.6028</v>
      </c>
      <c r="V87">
        <f t="shared" si="76"/>
        <v>0</v>
      </c>
      <c r="W87">
        <f t="shared" si="77"/>
        <v>0</v>
      </c>
      <c r="X87">
        <f t="shared" si="78"/>
        <v>64201.77</v>
      </c>
      <c r="Y87">
        <f t="shared" si="79"/>
        <v>9171.68</v>
      </c>
      <c r="AA87">
        <v>80890340</v>
      </c>
      <c r="AB87">
        <f t="shared" si="80"/>
        <v>13279.86</v>
      </c>
      <c r="AC87">
        <f>ROUND(((ES87*171)),6)</f>
        <v>470.25</v>
      </c>
      <c r="AD87">
        <f>ROUND(((((ET87*171))-((EU87*171)))+AE87),6)</f>
        <v>0</v>
      </c>
      <c r="AE87">
        <f t="shared" si="101"/>
        <v>0</v>
      </c>
      <c r="AF87">
        <f t="shared" si="101"/>
        <v>12809.61</v>
      </c>
      <c r="AG87">
        <f t="shared" si="81"/>
        <v>0</v>
      </c>
      <c r="AH87">
        <f t="shared" si="102"/>
        <v>39.33</v>
      </c>
      <c r="AI87">
        <f t="shared" si="102"/>
        <v>0</v>
      </c>
      <c r="AJ87">
        <f t="shared" si="82"/>
        <v>0</v>
      </c>
      <c r="AK87">
        <v>77.66</v>
      </c>
      <c r="AL87">
        <v>2.75</v>
      </c>
      <c r="AM87">
        <v>0</v>
      </c>
      <c r="AN87">
        <v>0</v>
      </c>
      <c r="AO87">
        <v>74.91</v>
      </c>
      <c r="AP87">
        <v>0</v>
      </c>
      <c r="AQ87">
        <v>0.23</v>
      </c>
      <c r="AR87">
        <v>0</v>
      </c>
      <c r="AS87">
        <v>0</v>
      </c>
      <c r="AT87">
        <v>70</v>
      </c>
      <c r="AU87">
        <v>10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1</v>
      </c>
      <c r="BD87" t="s">
        <v>3</v>
      </c>
      <c r="BE87" t="s">
        <v>3</v>
      </c>
      <c r="BF87" t="s">
        <v>3</v>
      </c>
      <c r="BG87" t="s">
        <v>3</v>
      </c>
      <c r="BH87">
        <v>0</v>
      </c>
      <c r="BI87">
        <v>4</v>
      </c>
      <c r="BJ87" t="s">
        <v>156</v>
      </c>
      <c r="BM87">
        <v>0</v>
      </c>
      <c r="BN87">
        <v>0</v>
      </c>
      <c r="BO87" t="s">
        <v>3</v>
      </c>
      <c r="BP87">
        <v>0</v>
      </c>
      <c r="BQ87">
        <v>1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70</v>
      </c>
      <c r="CA87">
        <v>10</v>
      </c>
      <c r="CB87" t="s">
        <v>3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83"/>
        <v>95083.8</v>
      </c>
      <c r="CQ87">
        <f t="shared" si="84"/>
        <v>470.25</v>
      </c>
      <c r="CR87">
        <f>(((((ET87*171))*BB87-((EU87*171))*BS87)+AE87*BS87)*AV87)</f>
        <v>0</v>
      </c>
      <c r="CS87">
        <f t="shared" si="85"/>
        <v>0</v>
      </c>
      <c r="CT87">
        <f t="shared" si="86"/>
        <v>12809.61</v>
      </c>
      <c r="CU87">
        <f t="shared" si="87"/>
        <v>0</v>
      </c>
      <c r="CV87">
        <f t="shared" si="88"/>
        <v>39.33</v>
      </c>
      <c r="CW87">
        <f t="shared" si="89"/>
        <v>0</v>
      </c>
      <c r="CX87">
        <f t="shared" si="90"/>
        <v>0</v>
      </c>
      <c r="CY87">
        <f t="shared" si="91"/>
        <v>64201.767</v>
      </c>
      <c r="CZ87">
        <f t="shared" si="92"/>
        <v>9171.6810000000005</v>
      </c>
      <c r="DC87" t="s">
        <v>3</v>
      </c>
      <c r="DD87" t="s">
        <v>149</v>
      </c>
      <c r="DE87" t="s">
        <v>149</v>
      </c>
      <c r="DF87" t="s">
        <v>149</v>
      </c>
      <c r="DG87" t="s">
        <v>149</v>
      </c>
      <c r="DH87" t="s">
        <v>3</v>
      </c>
      <c r="DI87" t="s">
        <v>149</v>
      </c>
      <c r="DJ87" t="s">
        <v>149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1005</v>
      </c>
      <c r="DV87" t="s">
        <v>29</v>
      </c>
      <c r="DW87" t="s">
        <v>29</v>
      </c>
      <c r="DX87">
        <v>100</v>
      </c>
      <c r="DZ87" t="s">
        <v>3</v>
      </c>
      <c r="EA87" t="s">
        <v>3</v>
      </c>
      <c r="EB87" t="s">
        <v>3</v>
      </c>
      <c r="EC87" t="s">
        <v>3</v>
      </c>
      <c r="EE87">
        <v>80196140</v>
      </c>
      <c r="EF87">
        <v>1</v>
      </c>
      <c r="EG87" t="s">
        <v>23</v>
      </c>
      <c r="EH87">
        <v>0</v>
      </c>
      <c r="EI87" t="s">
        <v>3</v>
      </c>
      <c r="EJ87">
        <v>4</v>
      </c>
      <c r="EK87">
        <v>0</v>
      </c>
      <c r="EL87" t="s">
        <v>24</v>
      </c>
      <c r="EM87" t="s">
        <v>25</v>
      </c>
      <c r="EO87" t="s">
        <v>3</v>
      </c>
      <c r="EQ87">
        <v>0</v>
      </c>
      <c r="ER87">
        <v>77.66</v>
      </c>
      <c r="ES87">
        <v>2.75</v>
      </c>
      <c r="ET87">
        <v>0</v>
      </c>
      <c r="EU87">
        <v>0</v>
      </c>
      <c r="EV87">
        <v>74.91</v>
      </c>
      <c r="EW87">
        <v>0.23</v>
      </c>
      <c r="EX87">
        <v>0</v>
      </c>
      <c r="EY87">
        <v>0</v>
      </c>
      <c r="FQ87">
        <v>0</v>
      </c>
      <c r="FR87">
        <v>0</v>
      </c>
      <c r="FS87">
        <v>0</v>
      </c>
      <c r="FX87">
        <v>70</v>
      </c>
      <c r="FY87">
        <v>10</v>
      </c>
      <c r="GA87" t="s">
        <v>3</v>
      </c>
      <c r="GD87">
        <v>0</v>
      </c>
      <c r="GF87">
        <v>-1581478685</v>
      </c>
      <c r="GG87">
        <v>2</v>
      </c>
      <c r="GH87">
        <v>1</v>
      </c>
      <c r="GI87">
        <v>-2</v>
      </c>
      <c r="GJ87">
        <v>0</v>
      </c>
      <c r="GK87">
        <f>ROUND(R87*(R12)/100,2)</f>
        <v>0</v>
      </c>
      <c r="GL87">
        <f t="shared" si="93"/>
        <v>0</v>
      </c>
      <c r="GM87">
        <f t="shared" si="94"/>
        <v>168457.25</v>
      </c>
      <c r="GN87">
        <f t="shared" si="95"/>
        <v>0</v>
      </c>
      <c r="GO87">
        <f t="shared" si="96"/>
        <v>0</v>
      </c>
      <c r="GP87">
        <f t="shared" si="97"/>
        <v>168457.25</v>
      </c>
      <c r="GR87">
        <v>0</v>
      </c>
      <c r="GS87">
        <v>3</v>
      </c>
      <c r="GT87">
        <v>0</v>
      </c>
      <c r="GU87" t="s">
        <v>3</v>
      </c>
      <c r="GV87">
        <f t="shared" si="98"/>
        <v>0</v>
      </c>
      <c r="GW87">
        <v>1</v>
      </c>
      <c r="GX87">
        <f t="shared" si="99"/>
        <v>0</v>
      </c>
      <c r="HA87">
        <v>0</v>
      </c>
      <c r="HB87">
        <v>0</v>
      </c>
      <c r="HC87">
        <f t="shared" si="100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HS87">
        <v>0</v>
      </c>
      <c r="IK87">
        <v>0</v>
      </c>
    </row>
    <row r="88" spans="1:245" x14ac:dyDescent="0.25">
      <c r="A88">
        <v>17</v>
      </c>
      <c r="B88">
        <v>1</v>
      </c>
      <c r="C88">
        <f>ROW(SmtRes!A29)</f>
        <v>29</v>
      </c>
      <c r="D88">
        <f>ROW(EtalonRes!A29)</f>
        <v>29</v>
      </c>
      <c r="E88" t="s">
        <v>157</v>
      </c>
      <c r="F88" t="s">
        <v>158</v>
      </c>
      <c r="G88" t="s">
        <v>159</v>
      </c>
      <c r="H88" t="s">
        <v>20</v>
      </c>
      <c r="I88">
        <v>81.831000000000003</v>
      </c>
      <c r="J88">
        <v>0</v>
      </c>
      <c r="K88">
        <v>81.831000000000003</v>
      </c>
      <c r="O88">
        <f t="shared" si="69"/>
        <v>628593.01</v>
      </c>
      <c r="P88">
        <f t="shared" si="70"/>
        <v>15695.19</v>
      </c>
      <c r="Q88">
        <f t="shared" si="71"/>
        <v>612897.81999999995</v>
      </c>
      <c r="R88">
        <f t="shared" si="72"/>
        <v>289689.92</v>
      </c>
      <c r="S88">
        <f t="shared" si="73"/>
        <v>0</v>
      </c>
      <c r="T88">
        <f t="shared" si="74"/>
        <v>0</v>
      </c>
      <c r="U88">
        <f t="shared" si="75"/>
        <v>0</v>
      </c>
      <c r="V88">
        <f t="shared" si="76"/>
        <v>0</v>
      </c>
      <c r="W88">
        <f t="shared" si="77"/>
        <v>0</v>
      </c>
      <c r="X88">
        <f t="shared" si="78"/>
        <v>0</v>
      </c>
      <c r="Y88">
        <f t="shared" si="79"/>
        <v>0</v>
      </c>
      <c r="AA88">
        <v>80890340</v>
      </c>
      <c r="AB88">
        <f t="shared" si="80"/>
        <v>7681.6</v>
      </c>
      <c r="AC88">
        <f>ROUND(((ES88*10)),6)</f>
        <v>191.8</v>
      </c>
      <c r="AD88">
        <f>ROUND(((((ET88*10))-((EU88*10)))+AE88),6)</f>
        <v>7489.8</v>
      </c>
      <c r="AE88">
        <f>ROUND(((EU88*10)),6)</f>
        <v>3540.1</v>
      </c>
      <c r="AF88">
        <f>ROUND(((EV88*10)),6)</f>
        <v>0</v>
      </c>
      <c r="AG88">
        <f t="shared" si="81"/>
        <v>0</v>
      </c>
      <c r="AH88">
        <f>((EW88*10))</f>
        <v>0</v>
      </c>
      <c r="AI88">
        <f>((EX88*10))</f>
        <v>0</v>
      </c>
      <c r="AJ88">
        <f t="shared" si="82"/>
        <v>0</v>
      </c>
      <c r="AK88">
        <v>768.16</v>
      </c>
      <c r="AL88">
        <v>19.18</v>
      </c>
      <c r="AM88">
        <v>748.98</v>
      </c>
      <c r="AN88">
        <v>354.01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70</v>
      </c>
      <c r="AU88">
        <v>10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1</v>
      </c>
      <c r="BD88" t="s">
        <v>3</v>
      </c>
      <c r="BE88" t="s">
        <v>3</v>
      </c>
      <c r="BF88" t="s">
        <v>3</v>
      </c>
      <c r="BG88" t="s">
        <v>3</v>
      </c>
      <c r="BH88">
        <v>0</v>
      </c>
      <c r="BI88">
        <v>4</v>
      </c>
      <c r="BJ88" t="s">
        <v>160</v>
      </c>
      <c r="BM88">
        <v>0</v>
      </c>
      <c r="BN88">
        <v>0</v>
      </c>
      <c r="BO88" t="s">
        <v>3</v>
      </c>
      <c r="BP88">
        <v>0</v>
      </c>
      <c r="BQ88">
        <v>1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70</v>
      </c>
      <c r="CA88">
        <v>10</v>
      </c>
      <c r="CB88" t="s">
        <v>3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83"/>
        <v>628593.00999999989</v>
      </c>
      <c r="CQ88">
        <f t="shared" si="84"/>
        <v>191.8</v>
      </c>
      <c r="CR88">
        <f>(((((ET88*10))*BB88-((EU88*10))*BS88)+AE88*BS88)*AV88)</f>
        <v>7489.8</v>
      </c>
      <c r="CS88">
        <f t="shared" si="85"/>
        <v>3540.1</v>
      </c>
      <c r="CT88">
        <f t="shared" si="86"/>
        <v>0</v>
      </c>
      <c r="CU88">
        <f t="shared" si="87"/>
        <v>0</v>
      </c>
      <c r="CV88">
        <f t="shared" si="88"/>
        <v>0</v>
      </c>
      <c r="CW88">
        <f t="shared" si="89"/>
        <v>0</v>
      </c>
      <c r="CX88">
        <f t="shared" si="90"/>
        <v>0</v>
      </c>
      <c r="CY88">
        <f t="shared" si="91"/>
        <v>0</v>
      </c>
      <c r="CZ88">
        <f t="shared" si="92"/>
        <v>0</v>
      </c>
      <c r="DC88" t="s">
        <v>3</v>
      </c>
      <c r="DD88" t="s">
        <v>161</v>
      </c>
      <c r="DE88" t="s">
        <v>161</v>
      </c>
      <c r="DF88" t="s">
        <v>161</v>
      </c>
      <c r="DG88" t="s">
        <v>161</v>
      </c>
      <c r="DH88" t="s">
        <v>3</v>
      </c>
      <c r="DI88" t="s">
        <v>161</v>
      </c>
      <c r="DJ88" t="s">
        <v>161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1005</v>
      </c>
      <c r="DV88" t="s">
        <v>20</v>
      </c>
      <c r="DW88" t="s">
        <v>20</v>
      </c>
      <c r="DX88">
        <v>1000</v>
      </c>
      <c r="DZ88" t="s">
        <v>3</v>
      </c>
      <c r="EA88" t="s">
        <v>3</v>
      </c>
      <c r="EB88" t="s">
        <v>3</v>
      </c>
      <c r="EC88" t="s">
        <v>3</v>
      </c>
      <c r="EE88">
        <v>80196140</v>
      </c>
      <c r="EF88">
        <v>1</v>
      </c>
      <c r="EG88" t="s">
        <v>23</v>
      </c>
      <c r="EH88">
        <v>0</v>
      </c>
      <c r="EI88" t="s">
        <v>3</v>
      </c>
      <c r="EJ88">
        <v>4</v>
      </c>
      <c r="EK88">
        <v>0</v>
      </c>
      <c r="EL88" t="s">
        <v>24</v>
      </c>
      <c r="EM88" t="s">
        <v>25</v>
      </c>
      <c r="EO88" t="s">
        <v>3</v>
      </c>
      <c r="EQ88">
        <v>0</v>
      </c>
      <c r="ER88">
        <v>768.16</v>
      </c>
      <c r="ES88">
        <v>19.18</v>
      </c>
      <c r="ET88">
        <v>748.98</v>
      </c>
      <c r="EU88">
        <v>354.01</v>
      </c>
      <c r="EV88">
        <v>0</v>
      </c>
      <c r="EW88">
        <v>0</v>
      </c>
      <c r="EX88">
        <v>0</v>
      </c>
      <c r="EY88">
        <v>0</v>
      </c>
      <c r="FQ88">
        <v>0</v>
      </c>
      <c r="FR88">
        <v>0</v>
      </c>
      <c r="FS88">
        <v>0</v>
      </c>
      <c r="FX88">
        <v>70</v>
      </c>
      <c r="FY88">
        <v>10</v>
      </c>
      <c r="GA88" t="s">
        <v>3</v>
      </c>
      <c r="GD88">
        <v>0</v>
      </c>
      <c r="GF88">
        <v>-1951941252</v>
      </c>
      <c r="GG88">
        <v>2</v>
      </c>
      <c r="GH88">
        <v>1</v>
      </c>
      <c r="GI88">
        <v>-2</v>
      </c>
      <c r="GJ88">
        <v>0</v>
      </c>
      <c r="GK88">
        <f>ROUND(R88*(R12)/100,2)</f>
        <v>312865.11</v>
      </c>
      <c r="GL88">
        <f t="shared" si="93"/>
        <v>0</v>
      </c>
      <c r="GM88">
        <f t="shared" si="94"/>
        <v>941458.12</v>
      </c>
      <c r="GN88">
        <f t="shared" si="95"/>
        <v>0</v>
      </c>
      <c r="GO88">
        <f t="shared" si="96"/>
        <v>0</v>
      </c>
      <c r="GP88">
        <f t="shared" si="97"/>
        <v>941458.12</v>
      </c>
      <c r="GR88">
        <v>0</v>
      </c>
      <c r="GS88">
        <v>3</v>
      </c>
      <c r="GT88">
        <v>0</v>
      </c>
      <c r="GU88" t="s">
        <v>3</v>
      </c>
      <c r="GV88">
        <f t="shared" si="98"/>
        <v>0</v>
      </c>
      <c r="GW88">
        <v>1</v>
      </c>
      <c r="GX88">
        <f t="shared" si="99"/>
        <v>0</v>
      </c>
      <c r="HA88">
        <v>0</v>
      </c>
      <c r="HB88">
        <v>0</v>
      </c>
      <c r="HC88">
        <f t="shared" si="100"/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HS88">
        <v>0</v>
      </c>
      <c r="IK88">
        <v>0</v>
      </c>
    </row>
    <row r="89" spans="1:245" x14ac:dyDescent="0.25">
      <c r="A89">
        <v>18</v>
      </c>
      <c r="B89">
        <v>1</v>
      </c>
      <c r="C89">
        <v>29</v>
      </c>
      <c r="E89" t="s">
        <v>162</v>
      </c>
      <c r="F89" t="s">
        <v>37</v>
      </c>
      <c r="G89" t="s">
        <v>38</v>
      </c>
      <c r="H89" t="s">
        <v>39</v>
      </c>
      <c r="I89">
        <f>I88*J89</f>
        <v>-286.4085</v>
      </c>
      <c r="J89">
        <v>-3.5</v>
      </c>
      <c r="K89">
        <v>-0.35</v>
      </c>
      <c r="O89">
        <f t="shared" si="69"/>
        <v>-15698.05</v>
      </c>
      <c r="P89">
        <f t="shared" si="70"/>
        <v>-15698.05</v>
      </c>
      <c r="Q89">
        <f t="shared" si="71"/>
        <v>0</v>
      </c>
      <c r="R89">
        <f t="shared" si="72"/>
        <v>0</v>
      </c>
      <c r="S89">
        <f t="shared" si="73"/>
        <v>0</v>
      </c>
      <c r="T89">
        <f t="shared" si="74"/>
        <v>0</v>
      </c>
      <c r="U89">
        <f t="shared" si="75"/>
        <v>0</v>
      </c>
      <c r="V89">
        <f t="shared" si="76"/>
        <v>0</v>
      </c>
      <c r="W89">
        <f t="shared" si="77"/>
        <v>0</v>
      </c>
      <c r="X89">
        <f t="shared" si="78"/>
        <v>0</v>
      </c>
      <c r="Y89">
        <f t="shared" si="79"/>
        <v>0</v>
      </c>
      <c r="AA89">
        <v>80890340</v>
      </c>
      <c r="AB89">
        <f t="shared" si="80"/>
        <v>54.81</v>
      </c>
      <c r="AC89">
        <f>ROUND((ES89),6)</f>
        <v>54.81</v>
      </c>
      <c r="AD89">
        <f>ROUND((((ET89)-(EU89))+AE89),6)</f>
        <v>0</v>
      </c>
      <c r="AE89">
        <f t="shared" ref="AE89:AF91" si="103">ROUND((EU89),6)</f>
        <v>0</v>
      </c>
      <c r="AF89">
        <f t="shared" si="103"/>
        <v>0</v>
      </c>
      <c r="AG89">
        <f t="shared" si="81"/>
        <v>0</v>
      </c>
      <c r="AH89">
        <f t="shared" ref="AH89:AI91" si="104">(EW89)</f>
        <v>0</v>
      </c>
      <c r="AI89">
        <f t="shared" si="104"/>
        <v>0</v>
      </c>
      <c r="AJ89">
        <f t="shared" si="82"/>
        <v>0</v>
      </c>
      <c r="AK89">
        <v>54.81</v>
      </c>
      <c r="AL89">
        <v>54.81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70</v>
      </c>
      <c r="AU89">
        <v>10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1</v>
      </c>
      <c r="BD89" t="s">
        <v>3</v>
      </c>
      <c r="BE89" t="s">
        <v>3</v>
      </c>
      <c r="BF89" t="s">
        <v>3</v>
      </c>
      <c r="BG89" t="s">
        <v>3</v>
      </c>
      <c r="BH89">
        <v>3</v>
      </c>
      <c r="BI89">
        <v>4</v>
      </c>
      <c r="BJ89" t="s">
        <v>40</v>
      </c>
      <c r="BM89">
        <v>0</v>
      </c>
      <c r="BN89">
        <v>0</v>
      </c>
      <c r="BO89" t="s">
        <v>3</v>
      </c>
      <c r="BP89">
        <v>0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70</v>
      </c>
      <c r="CA89">
        <v>10</v>
      </c>
      <c r="CB89" t="s">
        <v>3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83"/>
        <v>-15698.05</v>
      </c>
      <c r="CQ89">
        <f t="shared" si="84"/>
        <v>54.81</v>
      </c>
      <c r="CR89">
        <f>((((ET89)*BB89-(EU89)*BS89)+AE89*BS89)*AV89)</f>
        <v>0</v>
      </c>
      <c r="CS89">
        <f t="shared" si="85"/>
        <v>0</v>
      </c>
      <c r="CT89">
        <f t="shared" si="86"/>
        <v>0</v>
      </c>
      <c r="CU89">
        <f t="shared" si="87"/>
        <v>0</v>
      </c>
      <c r="CV89">
        <f t="shared" si="88"/>
        <v>0</v>
      </c>
      <c r="CW89">
        <f t="shared" si="89"/>
        <v>0</v>
      </c>
      <c r="CX89">
        <f t="shared" si="90"/>
        <v>0</v>
      </c>
      <c r="CY89">
        <f t="shared" si="91"/>
        <v>0</v>
      </c>
      <c r="CZ89">
        <f t="shared" si="92"/>
        <v>0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1007</v>
      </c>
      <c r="DV89" t="s">
        <v>39</v>
      </c>
      <c r="DW89" t="s">
        <v>39</v>
      </c>
      <c r="DX89">
        <v>1</v>
      </c>
      <c r="DZ89" t="s">
        <v>3</v>
      </c>
      <c r="EA89" t="s">
        <v>3</v>
      </c>
      <c r="EB89" t="s">
        <v>3</v>
      </c>
      <c r="EC89" t="s">
        <v>3</v>
      </c>
      <c r="EE89">
        <v>80196140</v>
      </c>
      <c r="EF89">
        <v>1</v>
      </c>
      <c r="EG89" t="s">
        <v>23</v>
      </c>
      <c r="EH89">
        <v>0</v>
      </c>
      <c r="EI89" t="s">
        <v>3</v>
      </c>
      <c r="EJ89">
        <v>4</v>
      </c>
      <c r="EK89">
        <v>0</v>
      </c>
      <c r="EL89" t="s">
        <v>24</v>
      </c>
      <c r="EM89" t="s">
        <v>25</v>
      </c>
      <c r="EO89" t="s">
        <v>3</v>
      </c>
      <c r="EQ89">
        <v>0</v>
      </c>
      <c r="ER89">
        <v>54.81</v>
      </c>
      <c r="ES89">
        <v>54.81</v>
      </c>
      <c r="ET89">
        <v>0</v>
      </c>
      <c r="EU89">
        <v>0</v>
      </c>
      <c r="EV89">
        <v>0</v>
      </c>
      <c r="EW89">
        <v>0</v>
      </c>
      <c r="EX89">
        <v>0</v>
      </c>
      <c r="FQ89">
        <v>0</v>
      </c>
      <c r="FR89">
        <v>0</v>
      </c>
      <c r="FS89">
        <v>0</v>
      </c>
      <c r="FX89">
        <v>70</v>
      </c>
      <c r="FY89">
        <v>10</v>
      </c>
      <c r="GA89" t="s">
        <v>3</v>
      </c>
      <c r="GD89">
        <v>0</v>
      </c>
      <c r="GF89">
        <v>2112060389</v>
      </c>
      <c r="GG89">
        <v>2</v>
      </c>
      <c r="GH89">
        <v>1</v>
      </c>
      <c r="GI89">
        <v>-2</v>
      </c>
      <c r="GJ89">
        <v>0</v>
      </c>
      <c r="GK89">
        <f>ROUND(R89*(R12)/100,2)</f>
        <v>0</v>
      </c>
      <c r="GL89">
        <f t="shared" si="93"/>
        <v>0</v>
      </c>
      <c r="GM89">
        <f t="shared" si="94"/>
        <v>-15698.05</v>
      </c>
      <c r="GN89">
        <f t="shared" si="95"/>
        <v>0</v>
      </c>
      <c r="GO89">
        <f t="shared" si="96"/>
        <v>0</v>
      </c>
      <c r="GP89">
        <f t="shared" si="97"/>
        <v>-15698.05</v>
      </c>
      <c r="GR89">
        <v>0</v>
      </c>
      <c r="GS89">
        <v>3</v>
      </c>
      <c r="GT89">
        <v>0</v>
      </c>
      <c r="GU89" t="s">
        <v>3</v>
      </c>
      <c r="GV89">
        <f t="shared" si="98"/>
        <v>0</v>
      </c>
      <c r="GW89">
        <v>1</v>
      </c>
      <c r="GX89">
        <f t="shared" si="99"/>
        <v>0</v>
      </c>
      <c r="HA89">
        <v>0</v>
      </c>
      <c r="HB89">
        <v>0</v>
      </c>
      <c r="HC89">
        <f t="shared" si="100"/>
        <v>0</v>
      </c>
      <c r="HE89" t="s">
        <v>3</v>
      </c>
      <c r="HF89" t="s">
        <v>3</v>
      </c>
      <c r="HM89" t="s">
        <v>161</v>
      </c>
      <c r="HN89" t="s">
        <v>3</v>
      </c>
      <c r="HO89" t="s">
        <v>3</v>
      </c>
      <c r="HP89" t="s">
        <v>3</v>
      </c>
      <c r="HQ89" t="s">
        <v>3</v>
      </c>
      <c r="HS89">
        <v>0</v>
      </c>
      <c r="IK89">
        <v>0</v>
      </c>
    </row>
    <row r="90" spans="1:245" x14ac:dyDescent="0.25">
      <c r="A90">
        <v>17</v>
      </c>
      <c r="B90">
        <v>1</v>
      </c>
      <c r="C90">
        <f>ROW(SmtRes!A32)</f>
        <v>32</v>
      </c>
      <c r="D90">
        <f>ROW(EtalonRes!A32)</f>
        <v>32</v>
      </c>
      <c r="E90" t="s">
        <v>3</v>
      </c>
      <c r="F90" t="s">
        <v>163</v>
      </c>
      <c r="G90" t="s">
        <v>164</v>
      </c>
      <c r="H90" t="s">
        <v>20</v>
      </c>
      <c r="I90">
        <v>81.831000000000003</v>
      </c>
      <c r="J90">
        <v>0</v>
      </c>
      <c r="K90">
        <v>81.831000000000003</v>
      </c>
      <c r="O90">
        <f t="shared" si="69"/>
        <v>124830.73</v>
      </c>
      <c r="P90">
        <f t="shared" si="70"/>
        <v>28518.92</v>
      </c>
      <c r="Q90">
        <f t="shared" si="71"/>
        <v>96311.81</v>
      </c>
      <c r="R90">
        <f t="shared" si="72"/>
        <v>45521.77</v>
      </c>
      <c r="S90">
        <f t="shared" si="73"/>
        <v>0</v>
      </c>
      <c r="T90">
        <f t="shared" si="74"/>
        <v>0</v>
      </c>
      <c r="U90">
        <f t="shared" si="75"/>
        <v>0</v>
      </c>
      <c r="V90">
        <f t="shared" si="76"/>
        <v>0</v>
      </c>
      <c r="W90">
        <f t="shared" si="77"/>
        <v>0</v>
      </c>
      <c r="X90">
        <f t="shared" si="78"/>
        <v>0</v>
      </c>
      <c r="Y90">
        <f t="shared" si="79"/>
        <v>0</v>
      </c>
      <c r="AA90">
        <v>-1</v>
      </c>
      <c r="AB90">
        <f t="shared" si="80"/>
        <v>1525.47</v>
      </c>
      <c r="AC90">
        <f>ROUND((ES90),6)</f>
        <v>348.51</v>
      </c>
      <c r="AD90">
        <f>ROUND((((ET90)-(EU90))+AE90),6)</f>
        <v>1176.96</v>
      </c>
      <c r="AE90">
        <f t="shared" si="103"/>
        <v>556.29</v>
      </c>
      <c r="AF90">
        <f t="shared" si="103"/>
        <v>0</v>
      </c>
      <c r="AG90">
        <f t="shared" si="81"/>
        <v>0</v>
      </c>
      <c r="AH90">
        <f t="shared" si="104"/>
        <v>0</v>
      </c>
      <c r="AI90">
        <f t="shared" si="104"/>
        <v>0</v>
      </c>
      <c r="AJ90">
        <f t="shared" si="82"/>
        <v>0</v>
      </c>
      <c r="AK90">
        <v>1525.47</v>
      </c>
      <c r="AL90">
        <v>348.51</v>
      </c>
      <c r="AM90">
        <v>1176.96</v>
      </c>
      <c r="AN90">
        <v>556.29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70</v>
      </c>
      <c r="AU90">
        <v>10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1</v>
      </c>
      <c r="BD90" t="s">
        <v>3</v>
      </c>
      <c r="BE90" t="s">
        <v>3</v>
      </c>
      <c r="BF90" t="s">
        <v>3</v>
      </c>
      <c r="BG90" t="s">
        <v>3</v>
      </c>
      <c r="BH90">
        <v>0</v>
      </c>
      <c r="BI90">
        <v>4</v>
      </c>
      <c r="BJ90" t="s">
        <v>165</v>
      </c>
      <c r="BM90">
        <v>0</v>
      </c>
      <c r="BN90">
        <v>0</v>
      </c>
      <c r="BO90" t="s">
        <v>3</v>
      </c>
      <c r="BP90">
        <v>0</v>
      </c>
      <c r="BQ90">
        <v>1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70</v>
      </c>
      <c r="CA90">
        <v>10</v>
      </c>
      <c r="CB90" t="s">
        <v>3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83"/>
        <v>124830.73</v>
      </c>
      <c r="CQ90">
        <f t="shared" si="84"/>
        <v>348.51</v>
      </c>
      <c r="CR90">
        <f>((((ET90)*BB90-(EU90)*BS90)+AE90*BS90)*AV90)</f>
        <v>1176.96</v>
      </c>
      <c r="CS90">
        <f t="shared" si="85"/>
        <v>556.29</v>
      </c>
      <c r="CT90">
        <f t="shared" si="86"/>
        <v>0</v>
      </c>
      <c r="CU90">
        <f t="shared" si="87"/>
        <v>0</v>
      </c>
      <c r="CV90">
        <f t="shared" si="88"/>
        <v>0</v>
      </c>
      <c r="CW90">
        <f t="shared" si="89"/>
        <v>0</v>
      </c>
      <c r="CX90">
        <f t="shared" si="90"/>
        <v>0</v>
      </c>
      <c r="CY90">
        <f t="shared" si="91"/>
        <v>0</v>
      </c>
      <c r="CZ90">
        <f t="shared" si="92"/>
        <v>0</v>
      </c>
      <c r="DC90" t="s">
        <v>3</v>
      </c>
      <c r="DD90" t="s">
        <v>3</v>
      </c>
      <c r="DE90" t="s">
        <v>3</v>
      </c>
      <c r="DF90" t="s">
        <v>3</v>
      </c>
      <c r="DG90" t="s">
        <v>3</v>
      </c>
      <c r="DH90" t="s">
        <v>3</v>
      </c>
      <c r="DI90" t="s">
        <v>3</v>
      </c>
      <c r="DJ90" t="s">
        <v>3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1005</v>
      </c>
      <c r="DV90" t="s">
        <v>20</v>
      </c>
      <c r="DW90" t="s">
        <v>20</v>
      </c>
      <c r="DX90">
        <v>1000</v>
      </c>
      <c r="DZ90" t="s">
        <v>3</v>
      </c>
      <c r="EA90" t="s">
        <v>3</v>
      </c>
      <c r="EB90" t="s">
        <v>3</v>
      </c>
      <c r="EC90" t="s">
        <v>3</v>
      </c>
      <c r="EE90">
        <v>80196140</v>
      </c>
      <c r="EF90">
        <v>1</v>
      </c>
      <c r="EG90" t="s">
        <v>23</v>
      </c>
      <c r="EH90">
        <v>0</v>
      </c>
      <c r="EI90" t="s">
        <v>3</v>
      </c>
      <c r="EJ90">
        <v>4</v>
      </c>
      <c r="EK90">
        <v>0</v>
      </c>
      <c r="EL90" t="s">
        <v>24</v>
      </c>
      <c r="EM90" t="s">
        <v>25</v>
      </c>
      <c r="EO90" t="s">
        <v>3</v>
      </c>
      <c r="EQ90">
        <v>1024</v>
      </c>
      <c r="ER90">
        <v>1525.47</v>
      </c>
      <c r="ES90">
        <v>348.51</v>
      </c>
      <c r="ET90">
        <v>1176.96</v>
      </c>
      <c r="EU90">
        <v>556.29</v>
      </c>
      <c r="EV90">
        <v>0</v>
      </c>
      <c r="EW90">
        <v>0</v>
      </c>
      <c r="EX90">
        <v>0</v>
      </c>
      <c r="EY90">
        <v>0</v>
      </c>
      <c r="FQ90">
        <v>0</v>
      </c>
      <c r="FR90">
        <v>0</v>
      </c>
      <c r="FS90">
        <v>0</v>
      </c>
      <c r="FX90">
        <v>70</v>
      </c>
      <c r="FY90">
        <v>10</v>
      </c>
      <c r="GA90" t="s">
        <v>3</v>
      </c>
      <c r="GD90">
        <v>0</v>
      </c>
      <c r="GF90">
        <v>508839597</v>
      </c>
      <c r="GG90">
        <v>2</v>
      </c>
      <c r="GH90">
        <v>1</v>
      </c>
      <c r="GI90">
        <v>-2</v>
      </c>
      <c r="GJ90">
        <v>0</v>
      </c>
      <c r="GK90">
        <f>ROUND(R90*(R12)/100,2)</f>
        <v>49163.51</v>
      </c>
      <c r="GL90">
        <f t="shared" si="93"/>
        <v>0</v>
      </c>
      <c r="GM90">
        <f t="shared" si="94"/>
        <v>173994.23999999999</v>
      </c>
      <c r="GN90">
        <f t="shared" si="95"/>
        <v>0</v>
      </c>
      <c r="GO90">
        <f t="shared" si="96"/>
        <v>0</v>
      </c>
      <c r="GP90">
        <f t="shared" si="97"/>
        <v>173994.23999999999</v>
      </c>
      <c r="GR90">
        <v>0</v>
      </c>
      <c r="GS90">
        <v>3</v>
      </c>
      <c r="GT90">
        <v>0</v>
      </c>
      <c r="GU90" t="s">
        <v>3</v>
      </c>
      <c r="GV90">
        <f t="shared" si="98"/>
        <v>0</v>
      </c>
      <c r="GW90">
        <v>1</v>
      </c>
      <c r="GX90">
        <f t="shared" si="99"/>
        <v>0</v>
      </c>
      <c r="HA90">
        <v>0</v>
      </c>
      <c r="HB90">
        <v>0</v>
      </c>
      <c r="HC90">
        <f t="shared" si="100"/>
        <v>0</v>
      </c>
      <c r="HE90" t="s">
        <v>3</v>
      </c>
      <c r="HF90" t="s">
        <v>3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HS90">
        <v>0</v>
      </c>
      <c r="IK90">
        <v>0</v>
      </c>
    </row>
    <row r="91" spans="1:245" x14ac:dyDescent="0.25">
      <c r="A91">
        <v>18</v>
      </c>
      <c r="B91">
        <v>1</v>
      </c>
      <c r="C91">
        <v>32</v>
      </c>
      <c r="E91" t="s">
        <v>3</v>
      </c>
      <c r="F91" t="s">
        <v>37</v>
      </c>
      <c r="G91" t="s">
        <v>38</v>
      </c>
      <c r="H91" t="s">
        <v>39</v>
      </c>
      <c r="I91">
        <f>I90*J91</f>
        <v>-91.650720000000007</v>
      </c>
      <c r="J91">
        <v>-1.1200000000000001</v>
      </c>
      <c r="K91">
        <v>-1.1200000000000001</v>
      </c>
      <c r="O91">
        <f t="shared" si="69"/>
        <v>-5023.38</v>
      </c>
      <c r="P91">
        <f t="shared" si="70"/>
        <v>-5023.38</v>
      </c>
      <c r="Q91">
        <f t="shared" si="71"/>
        <v>0</v>
      </c>
      <c r="R91">
        <f t="shared" si="72"/>
        <v>0</v>
      </c>
      <c r="S91">
        <f t="shared" si="73"/>
        <v>0</v>
      </c>
      <c r="T91">
        <f t="shared" si="74"/>
        <v>0</v>
      </c>
      <c r="U91">
        <f t="shared" si="75"/>
        <v>0</v>
      </c>
      <c r="V91">
        <f t="shared" si="76"/>
        <v>0</v>
      </c>
      <c r="W91">
        <f t="shared" si="77"/>
        <v>0</v>
      </c>
      <c r="X91">
        <f t="shared" si="78"/>
        <v>0</v>
      </c>
      <c r="Y91">
        <f t="shared" si="79"/>
        <v>0</v>
      </c>
      <c r="AA91">
        <v>-1</v>
      </c>
      <c r="AB91">
        <f t="shared" si="80"/>
        <v>54.81</v>
      </c>
      <c r="AC91">
        <f>ROUND((ES91),6)</f>
        <v>54.81</v>
      </c>
      <c r="AD91">
        <f>ROUND((((ET91)-(EU91))+AE91),6)</f>
        <v>0</v>
      </c>
      <c r="AE91">
        <f t="shared" si="103"/>
        <v>0</v>
      </c>
      <c r="AF91">
        <f t="shared" si="103"/>
        <v>0</v>
      </c>
      <c r="AG91">
        <f t="shared" si="81"/>
        <v>0</v>
      </c>
      <c r="AH91">
        <f t="shared" si="104"/>
        <v>0</v>
      </c>
      <c r="AI91">
        <f t="shared" si="104"/>
        <v>0</v>
      </c>
      <c r="AJ91">
        <f t="shared" si="82"/>
        <v>0</v>
      </c>
      <c r="AK91">
        <v>54.81</v>
      </c>
      <c r="AL91">
        <v>54.81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70</v>
      </c>
      <c r="AU91">
        <v>10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1</v>
      </c>
      <c r="BD91" t="s">
        <v>3</v>
      </c>
      <c r="BE91" t="s">
        <v>3</v>
      </c>
      <c r="BF91" t="s">
        <v>3</v>
      </c>
      <c r="BG91" t="s">
        <v>3</v>
      </c>
      <c r="BH91">
        <v>3</v>
      </c>
      <c r="BI91">
        <v>4</v>
      </c>
      <c r="BJ91" t="s">
        <v>40</v>
      </c>
      <c r="BM91">
        <v>0</v>
      </c>
      <c r="BN91">
        <v>0</v>
      </c>
      <c r="BO91" t="s">
        <v>3</v>
      </c>
      <c r="BP91">
        <v>0</v>
      </c>
      <c r="BQ91">
        <v>1</v>
      </c>
      <c r="BR91">
        <v>1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3</v>
      </c>
      <c r="BZ91">
        <v>70</v>
      </c>
      <c r="CA91">
        <v>10</v>
      </c>
      <c r="CB91" t="s">
        <v>3</v>
      </c>
      <c r="CE91">
        <v>0</v>
      </c>
      <c r="CF91">
        <v>0</v>
      </c>
      <c r="CG91">
        <v>0</v>
      </c>
      <c r="CM91">
        <v>0</v>
      </c>
      <c r="CN91" t="s">
        <v>3</v>
      </c>
      <c r="CO91">
        <v>0</v>
      </c>
      <c r="CP91">
        <f t="shared" si="83"/>
        <v>-5023.38</v>
      </c>
      <c r="CQ91">
        <f t="shared" si="84"/>
        <v>54.81</v>
      </c>
      <c r="CR91">
        <f>((((ET91)*BB91-(EU91)*BS91)+AE91*BS91)*AV91)</f>
        <v>0</v>
      </c>
      <c r="CS91">
        <f t="shared" si="85"/>
        <v>0</v>
      </c>
      <c r="CT91">
        <f t="shared" si="86"/>
        <v>0</v>
      </c>
      <c r="CU91">
        <f t="shared" si="87"/>
        <v>0</v>
      </c>
      <c r="CV91">
        <f t="shared" si="88"/>
        <v>0</v>
      </c>
      <c r="CW91">
        <f t="shared" si="89"/>
        <v>0</v>
      </c>
      <c r="CX91">
        <f t="shared" si="90"/>
        <v>0</v>
      </c>
      <c r="CY91">
        <f t="shared" si="91"/>
        <v>0</v>
      </c>
      <c r="CZ91">
        <f t="shared" si="92"/>
        <v>0</v>
      </c>
      <c r="DC91" t="s">
        <v>3</v>
      </c>
      <c r="DD91" t="s">
        <v>3</v>
      </c>
      <c r="DE91" t="s">
        <v>3</v>
      </c>
      <c r="DF91" t="s">
        <v>3</v>
      </c>
      <c r="DG91" t="s">
        <v>3</v>
      </c>
      <c r="DH91" t="s">
        <v>3</v>
      </c>
      <c r="DI91" t="s">
        <v>3</v>
      </c>
      <c r="DJ91" t="s">
        <v>3</v>
      </c>
      <c r="DK91" t="s">
        <v>3</v>
      </c>
      <c r="DL91" t="s">
        <v>3</v>
      </c>
      <c r="DM91" t="s">
        <v>3</v>
      </c>
      <c r="DN91">
        <v>0</v>
      </c>
      <c r="DO91">
        <v>0</v>
      </c>
      <c r="DP91">
        <v>1</v>
      </c>
      <c r="DQ91">
        <v>1</v>
      </c>
      <c r="DU91">
        <v>1007</v>
      </c>
      <c r="DV91" t="s">
        <v>39</v>
      </c>
      <c r="DW91" t="s">
        <v>39</v>
      </c>
      <c r="DX91">
        <v>1</v>
      </c>
      <c r="DZ91" t="s">
        <v>3</v>
      </c>
      <c r="EA91" t="s">
        <v>3</v>
      </c>
      <c r="EB91" t="s">
        <v>3</v>
      </c>
      <c r="EC91" t="s">
        <v>3</v>
      </c>
      <c r="EE91">
        <v>80196140</v>
      </c>
      <c r="EF91">
        <v>1</v>
      </c>
      <c r="EG91" t="s">
        <v>23</v>
      </c>
      <c r="EH91">
        <v>0</v>
      </c>
      <c r="EI91" t="s">
        <v>3</v>
      </c>
      <c r="EJ91">
        <v>4</v>
      </c>
      <c r="EK91">
        <v>0</v>
      </c>
      <c r="EL91" t="s">
        <v>24</v>
      </c>
      <c r="EM91" t="s">
        <v>25</v>
      </c>
      <c r="EO91" t="s">
        <v>3</v>
      </c>
      <c r="EQ91">
        <v>1024</v>
      </c>
      <c r="ER91">
        <v>54.81</v>
      </c>
      <c r="ES91">
        <v>54.81</v>
      </c>
      <c r="ET91">
        <v>0</v>
      </c>
      <c r="EU91">
        <v>0</v>
      </c>
      <c r="EV91">
        <v>0</v>
      </c>
      <c r="EW91">
        <v>0</v>
      </c>
      <c r="EX91">
        <v>0</v>
      </c>
      <c r="FQ91">
        <v>0</v>
      </c>
      <c r="FR91">
        <v>0</v>
      </c>
      <c r="FS91">
        <v>0</v>
      </c>
      <c r="FX91">
        <v>70</v>
      </c>
      <c r="FY91">
        <v>10</v>
      </c>
      <c r="GA91" t="s">
        <v>3</v>
      </c>
      <c r="GD91">
        <v>0</v>
      </c>
      <c r="GF91">
        <v>2112060389</v>
      </c>
      <c r="GG91">
        <v>2</v>
      </c>
      <c r="GH91">
        <v>1</v>
      </c>
      <c r="GI91">
        <v>-2</v>
      </c>
      <c r="GJ91">
        <v>0</v>
      </c>
      <c r="GK91">
        <f>ROUND(R91*(R12)/100,2)</f>
        <v>0</v>
      </c>
      <c r="GL91">
        <f t="shared" si="93"/>
        <v>0</v>
      </c>
      <c r="GM91">
        <f t="shared" si="94"/>
        <v>-5023.38</v>
      </c>
      <c r="GN91">
        <f t="shared" si="95"/>
        <v>0</v>
      </c>
      <c r="GO91">
        <f t="shared" si="96"/>
        <v>0</v>
      </c>
      <c r="GP91">
        <f t="shared" si="97"/>
        <v>-5023.38</v>
      </c>
      <c r="GR91">
        <v>0</v>
      </c>
      <c r="GS91">
        <v>3</v>
      </c>
      <c r="GT91">
        <v>0</v>
      </c>
      <c r="GU91" t="s">
        <v>3</v>
      </c>
      <c r="GV91">
        <f t="shared" si="98"/>
        <v>0</v>
      </c>
      <c r="GW91">
        <v>1</v>
      </c>
      <c r="GX91">
        <f t="shared" si="99"/>
        <v>0</v>
      </c>
      <c r="HA91">
        <v>0</v>
      </c>
      <c r="HB91">
        <v>0</v>
      </c>
      <c r="HC91">
        <f t="shared" si="100"/>
        <v>0</v>
      </c>
      <c r="HE91" t="s">
        <v>3</v>
      </c>
      <c r="HF91" t="s">
        <v>3</v>
      </c>
      <c r="HM91" t="s">
        <v>3</v>
      </c>
      <c r="HN91" t="s">
        <v>3</v>
      </c>
      <c r="HO91" t="s">
        <v>3</v>
      </c>
      <c r="HP91" t="s">
        <v>3</v>
      </c>
      <c r="HQ91" t="s">
        <v>3</v>
      </c>
      <c r="HS91">
        <v>0</v>
      </c>
      <c r="IK91">
        <v>0</v>
      </c>
    </row>
    <row r="92" spans="1:245" x14ac:dyDescent="0.25">
      <c r="A92">
        <v>17</v>
      </c>
      <c r="B92">
        <v>1</v>
      </c>
      <c r="C92">
        <f>ROW(SmtRes!A35)</f>
        <v>35</v>
      </c>
      <c r="D92">
        <f>ROW(EtalonRes!A35)</f>
        <v>35</v>
      </c>
      <c r="E92" t="s">
        <v>166</v>
      </c>
      <c r="F92" t="s">
        <v>167</v>
      </c>
      <c r="G92" t="s">
        <v>168</v>
      </c>
      <c r="H92" t="s">
        <v>29</v>
      </c>
      <c r="I92">
        <v>0.67079999999999995</v>
      </c>
      <c r="J92">
        <v>0</v>
      </c>
      <c r="K92">
        <v>0.67079999999999995</v>
      </c>
      <c r="O92">
        <f t="shared" si="69"/>
        <v>30345.68</v>
      </c>
      <c r="P92">
        <f t="shared" si="70"/>
        <v>24.98</v>
      </c>
      <c r="Q92">
        <f t="shared" si="71"/>
        <v>0</v>
      </c>
      <c r="R92">
        <f t="shared" si="72"/>
        <v>0</v>
      </c>
      <c r="S92">
        <f t="shared" si="73"/>
        <v>30320.7</v>
      </c>
      <c r="T92">
        <f t="shared" si="74"/>
        <v>0</v>
      </c>
      <c r="U92">
        <f t="shared" si="75"/>
        <v>66.912300000000002</v>
      </c>
      <c r="V92">
        <f t="shared" si="76"/>
        <v>0</v>
      </c>
      <c r="W92">
        <f t="shared" si="77"/>
        <v>0</v>
      </c>
      <c r="X92">
        <f t="shared" si="78"/>
        <v>21224.49</v>
      </c>
      <c r="Y92">
        <f t="shared" si="79"/>
        <v>3032.07</v>
      </c>
      <c r="AA92">
        <v>80890340</v>
      </c>
      <c r="AB92">
        <f t="shared" si="80"/>
        <v>45238.05</v>
      </c>
      <c r="AC92">
        <f>ROUND(((ES92*19)),6)</f>
        <v>37.24</v>
      </c>
      <c r="AD92">
        <f>ROUND(((((ET92*19))-((EU92*19)))+AE92),6)</f>
        <v>0</v>
      </c>
      <c r="AE92">
        <f>ROUND(((EU92*19)),6)</f>
        <v>0</v>
      </c>
      <c r="AF92">
        <f>ROUND(((EV92*19)),6)</f>
        <v>45200.81</v>
      </c>
      <c r="AG92">
        <f t="shared" si="81"/>
        <v>0</v>
      </c>
      <c r="AH92">
        <f>((EW92*19))</f>
        <v>99.75</v>
      </c>
      <c r="AI92">
        <f>((EX92*19))</f>
        <v>0</v>
      </c>
      <c r="AJ92">
        <f t="shared" si="82"/>
        <v>0</v>
      </c>
      <c r="AK92">
        <v>2380.9499999999998</v>
      </c>
      <c r="AL92">
        <v>1.96</v>
      </c>
      <c r="AM92">
        <v>0</v>
      </c>
      <c r="AN92">
        <v>0</v>
      </c>
      <c r="AO92">
        <v>2378.9899999999998</v>
      </c>
      <c r="AP92">
        <v>0</v>
      </c>
      <c r="AQ92">
        <v>5.25</v>
      </c>
      <c r="AR92">
        <v>0</v>
      </c>
      <c r="AS92">
        <v>0</v>
      </c>
      <c r="AT92">
        <v>70</v>
      </c>
      <c r="AU92">
        <v>10</v>
      </c>
      <c r="AV92">
        <v>1</v>
      </c>
      <c r="AW92">
        <v>1</v>
      </c>
      <c r="AZ92">
        <v>1</v>
      </c>
      <c r="BA92">
        <v>1</v>
      </c>
      <c r="BB92">
        <v>1</v>
      </c>
      <c r="BC92">
        <v>1</v>
      </c>
      <c r="BD92" t="s">
        <v>3</v>
      </c>
      <c r="BE92" t="s">
        <v>3</v>
      </c>
      <c r="BF92" t="s">
        <v>3</v>
      </c>
      <c r="BG92" t="s">
        <v>3</v>
      </c>
      <c r="BH92">
        <v>0</v>
      </c>
      <c r="BI92">
        <v>4</v>
      </c>
      <c r="BJ92" t="s">
        <v>169</v>
      </c>
      <c r="BM92">
        <v>0</v>
      </c>
      <c r="BN92">
        <v>0</v>
      </c>
      <c r="BO92" t="s">
        <v>3</v>
      </c>
      <c r="BP92">
        <v>0</v>
      </c>
      <c r="BQ92">
        <v>1</v>
      </c>
      <c r="BR92">
        <v>0</v>
      </c>
      <c r="BS92">
        <v>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70</v>
      </c>
      <c r="CA92">
        <v>10</v>
      </c>
      <c r="CB92" t="s">
        <v>3</v>
      </c>
      <c r="CE92">
        <v>0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83"/>
        <v>30345.68</v>
      </c>
      <c r="CQ92">
        <f t="shared" si="84"/>
        <v>37.24</v>
      </c>
      <c r="CR92">
        <f>(((((ET92*19))*BB92-((EU92*19))*BS92)+AE92*BS92)*AV92)</f>
        <v>0</v>
      </c>
      <c r="CS92">
        <f t="shared" si="85"/>
        <v>0</v>
      </c>
      <c r="CT92">
        <f t="shared" si="86"/>
        <v>45200.81</v>
      </c>
      <c r="CU92">
        <f t="shared" si="87"/>
        <v>0</v>
      </c>
      <c r="CV92">
        <f t="shared" si="88"/>
        <v>99.75</v>
      </c>
      <c r="CW92">
        <f t="shared" si="89"/>
        <v>0</v>
      </c>
      <c r="CX92">
        <f t="shared" si="90"/>
        <v>0</v>
      </c>
      <c r="CY92">
        <f t="shared" si="91"/>
        <v>21224.49</v>
      </c>
      <c r="CZ92">
        <f t="shared" si="92"/>
        <v>3032.07</v>
      </c>
      <c r="DC92" t="s">
        <v>3</v>
      </c>
      <c r="DD92" t="s">
        <v>170</v>
      </c>
      <c r="DE92" t="s">
        <v>170</v>
      </c>
      <c r="DF92" t="s">
        <v>170</v>
      </c>
      <c r="DG92" t="s">
        <v>170</v>
      </c>
      <c r="DH92" t="s">
        <v>3</v>
      </c>
      <c r="DI92" t="s">
        <v>170</v>
      </c>
      <c r="DJ92" t="s">
        <v>170</v>
      </c>
      <c r="DK92" t="s">
        <v>3</v>
      </c>
      <c r="DL92" t="s">
        <v>3</v>
      </c>
      <c r="DM92" t="s">
        <v>3</v>
      </c>
      <c r="DN92">
        <v>0</v>
      </c>
      <c r="DO92">
        <v>0</v>
      </c>
      <c r="DP92">
        <v>1</v>
      </c>
      <c r="DQ92">
        <v>1</v>
      </c>
      <c r="DU92">
        <v>1005</v>
      </c>
      <c r="DV92" t="s">
        <v>29</v>
      </c>
      <c r="DW92" t="s">
        <v>29</v>
      </c>
      <c r="DX92">
        <v>100</v>
      </c>
      <c r="DZ92" t="s">
        <v>3</v>
      </c>
      <c r="EA92" t="s">
        <v>3</v>
      </c>
      <c r="EB92" t="s">
        <v>3</v>
      </c>
      <c r="EC92" t="s">
        <v>3</v>
      </c>
      <c r="EE92">
        <v>80196140</v>
      </c>
      <c r="EF92">
        <v>1</v>
      </c>
      <c r="EG92" t="s">
        <v>23</v>
      </c>
      <c r="EH92">
        <v>0</v>
      </c>
      <c r="EI92" t="s">
        <v>3</v>
      </c>
      <c r="EJ92">
        <v>4</v>
      </c>
      <c r="EK92">
        <v>0</v>
      </c>
      <c r="EL92" t="s">
        <v>24</v>
      </c>
      <c r="EM92" t="s">
        <v>25</v>
      </c>
      <c r="EO92" t="s">
        <v>3</v>
      </c>
      <c r="EQ92">
        <v>0</v>
      </c>
      <c r="ER92">
        <v>2380.9499999999998</v>
      </c>
      <c r="ES92">
        <v>1.96</v>
      </c>
      <c r="ET92">
        <v>0</v>
      </c>
      <c r="EU92">
        <v>0</v>
      </c>
      <c r="EV92">
        <v>2378.9899999999998</v>
      </c>
      <c r="EW92">
        <v>5.25</v>
      </c>
      <c r="EX92">
        <v>0</v>
      </c>
      <c r="EY92">
        <v>0</v>
      </c>
      <c r="FQ92">
        <v>0</v>
      </c>
      <c r="FR92">
        <v>0</v>
      </c>
      <c r="FS92">
        <v>0</v>
      </c>
      <c r="FX92">
        <v>70</v>
      </c>
      <c r="FY92">
        <v>10</v>
      </c>
      <c r="GA92" t="s">
        <v>3</v>
      </c>
      <c r="GD92">
        <v>0</v>
      </c>
      <c r="GF92">
        <v>-256460189</v>
      </c>
      <c r="GG92">
        <v>2</v>
      </c>
      <c r="GH92">
        <v>1</v>
      </c>
      <c r="GI92">
        <v>-2</v>
      </c>
      <c r="GJ92">
        <v>0</v>
      </c>
      <c r="GK92">
        <f>ROUND(R92*(R12)/100,2)</f>
        <v>0</v>
      </c>
      <c r="GL92">
        <f t="shared" si="93"/>
        <v>0</v>
      </c>
      <c r="GM92">
        <f t="shared" si="94"/>
        <v>54602.239999999998</v>
      </c>
      <c r="GN92">
        <f t="shared" si="95"/>
        <v>0</v>
      </c>
      <c r="GO92">
        <f t="shared" si="96"/>
        <v>0</v>
      </c>
      <c r="GP92">
        <f t="shared" si="97"/>
        <v>54602.239999999998</v>
      </c>
      <c r="GR92">
        <v>0</v>
      </c>
      <c r="GS92">
        <v>3</v>
      </c>
      <c r="GT92">
        <v>0</v>
      </c>
      <c r="GU92" t="s">
        <v>3</v>
      </c>
      <c r="GV92">
        <f t="shared" si="98"/>
        <v>0</v>
      </c>
      <c r="GW92">
        <v>1</v>
      </c>
      <c r="GX92">
        <f t="shared" si="99"/>
        <v>0</v>
      </c>
      <c r="HA92">
        <v>0</v>
      </c>
      <c r="HB92">
        <v>0</v>
      </c>
      <c r="HC92">
        <f t="shared" si="100"/>
        <v>0</v>
      </c>
      <c r="HE92" t="s">
        <v>3</v>
      </c>
      <c r="HF92" t="s">
        <v>3</v>
      </c>
      <c r="HM92" t="s">
        <v>3</v>
      </c>
      <c r="HN92" t="s">
        <v>3</v>
      </c>
      <c r="HO92" t="s">
        <v>3</v>
      </c>
      <c r="HP92" t="s">
        <v>3</v>
      </c>
      <c r="HQ92" t="s">
        <v>3</v>
      </c>
      <c r="HS92">
        <v>0</v>
      </c>
      <c r="IK92">
        <v>0</v>
      </c>
    </row>
    <row r="93" spans="1:245" x14ac:dyDescent="0.25">
      <c r="A93">
        <v>17</v>
      </c>
      <c r="B93">
        <v>1</v>
      </c>
      <c r="C93">
        <f>ROW(SmtRes!A37)</f>
        <v>37</v>
      </c>
      <c r="D93">
        <f>ROW(EtalonRes!A37)</f>
        <v>37</v>
      </c>
      <c r="E93" t="s">
        <v>171</v>
      </c>
      <c r="F93" t="s">
        <v>81</v>
      </c>
      <c r="G93" t="s">
        <v>82</v>
      </c>
      <c r="H93" t="s">
        <v>83</v>
      </c>
      <c r="I93">
        <v>0.34</v>
      </c>
      <c r="J93">
        <v>0</v>
      </c>
      <c r="K93">
        <v>0.34</v>
      </c>
      <c r="O93">
        <f t="shared" si="69"/>
        <v>86453.51</v>
      </c>
      <c r="P93">
        <f t="shared" si="70"/>
        <v>17391</v>
      </c>
      <c r="Q93">
        <f t="shared" si="71"/>
        <v>0</v>
      </c>
      <c r="R93">
        <f t="shared" si="72"/>
        <v>0</v>
      </c>
      <c r="S93">
        <f t="shared" si="73"/>
        <v>69062.509999999995</v>
      </c>
      <c r="T93">
        <f t="shared" si="74"/>
        <v>0</v>
      </c>
      <c r="U93">
        <f t="shared" si="75"/>
        <v>152.40840000000003</v>
      </c>
      <c r="V93">
        <f t="shared" si="76"/>
        <v>0</v>
      </c>
      <c r="W93">
        <f t="shared" si="77"/>
        <v>0</v>
      </c>
      <c r="X93">
        <f t="shared" si="78"/>
        <v>48343.76</v>
      </c>
      <c r="Y93">
        <f t="shared" si="79"/>
        <v>6906.25</v>
      </c>
      <c r="AA93">
        <v>80890340</v>
      </c>
      <c r="AB93">
        <f t="shared" si="80"/>
        <v>254275.02</v>
      </c>
      <c r="AC93">
        <f>ROUND(((ES93*186)),6)</f>
        <v>51150</v>
      </c>
      <c r="AD93">
        <f>ROUND(((((ET93*186))-((EU93*186)))+AE93),6)</f>
        <v>0</v>
      </c>
      <c r="AE93">
        <f>ROUND(((EU93*186)),6)</f>
        <v>0</v>
      </c>
      <c r="AF93">
        <f>ROUND(((EV93*186)),6)</f>
        <v>203125.02</v>
      </c>
      <c r="AG93">
        <f t="shared" si="81"/>
        <v>0</v>
      </c>
      <c r="AH93">
        <f>((EW93*186))</f>
        <v>448.26000000000005</v>
      </c>
      <c r="AI93">
        <f>((EX93*186))</f>
        <v>0</v>
      </c>
      <c r="AJ93">
        <f t="shared" si="82"/>
        <v>0</v>
      </c>
      <c r="AK93">
        <v>1367.07</v>
      </c>
      <c r="AL93">
        <v>275</v>
      </c>
      <c r="AM93">
        <v>0</v>
      </c>
      <c r="AN93">
        <v>0</v>
      </c>
      <c r="AO93">
        <v>1092.07</v>
      </c>
      <c r="AP93">
        <v>0</v>
      </c>
      <c r="AQ93">
        <v>2.41</v>
      </c>
      <c r="AR93">
        <v>0</v>
      </c>
      <c r="AS93">
        <v>0</v>
      </c>
      <c r="AT93">
        <v>70</v>
      </c>
      <c r="AU93">
        <v>10</v>
      </c>
      <c r="AV93">
        <v>1</v>
      </c>
      <c r="AW93">
        <v>1</v>
      </c>
      <c r="AZ93">
        <v>1</v>
      </c>
      <c r="BA93">
        <v>1</v>
      </c>
      <c r="BB93">
        <v>1</v>
      </c>
      <c r="BC93">
        <v>1</v>
      </c>
      <c r="BD93" t="s">
        <v>3</v>
      </c>
      <c r="BE93" t="s">
        <v>3</v>
      </c>
      <c r="BF93" t="s">
        <v>3</v>
      </c>
      <c r="BG93" t="s">
        <v>3</v>
      </c>
      <c r="BH93">
        <v>0</v>
      </c>
      <c r="BI93">
        <v>4</v>
      </c>
      <c r="BJ93" t="s">
        <v>84</v>
      </c>
      <c r="BM93">
        <v>0</v>
      </c>
      <c r="BN93">
        <v>0</v>
      </c>
      <c r="BO93" t="s">
        <v>3</v>
      </c>
      <c r="BP93">
        <v>0</v>
      </c>
      <c r="BQ93">
        <v>1</v>
      </c>
      <c r="BR93">
        <v>0</v>
      </c>
      <c r="BS93">
        <v>1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3</v>
      </c>
      <c r="BZ93">
        <v>70</v>
      </c>
      <c r="CA93">
        <v>10</v>
      </c>
      <c r="CB93" t="s">
        <v>3</v>
      </c>
      <c r="CE93">
        <v>0</v>
      </c>
      <c r="CF93">
        <v>0</v>
      </c>
      <c r="CG93">
        <v>0</v>
      </c>
      <c r="CM93">
        <v>0</v>
      </c>
      <c r="CN93" t="s">
        <v>3</v>
      </c>
      <c r="CO93">
        <v>0</v>
      </c>
      <c r="CP93">
        <f t="shared" si="83"/>
        <v>86453.51</v>
      </c>
      <c r="CQ93">
        <f t="shared" si="84"/>
        <v>51150</v>
      </c>
      <c r="CR93">
        <f>(((((ET93*186))*BB93-((EU93*186))*BS93)+AE93*BS93)*AV93)</f>
        <v>0</v>
      </c>
      <c r="CS93">
        <f t="shared" si="85"/>
        <v>0</v>
      </c>
      <c r="CT93">
        <f t="shared" si="86"/>
        <v>203125.02</v>
      </c>
      <c r="CU93">
        <f t="shared" si="87"/>
        <v>0</v>
      </c>
      <c r="CV93">
        <f t="shared" si="88"/>
        <v>448.26000000000005</v>
      </c>
      <c r="CW93">
        <f t="shared" si="89"/>
        <v>0</v>
      </c>
      <c r="CX93">
        <f t="shared" si="90"/>
        <v>0</v>
      </c>
      <c r="CY93">
        <f t="shared" si="91"/>
        <v>48343.756999999991</v>
      </c>
      <c r="CZ93">
        <f t="shared" si="92"/>
        <v>6906.2510000000002</v>
      </c>
      <c r="DC93" t="s">
        <v>3</v>
      </c>
      <c r="DD93" t="s">
        <v>172</v>
      </c>
      <c r="DE93" t="s">
        <v>172</v>
      </c>
      <c r="DF93" t="s">
        <v>172</v>
      </c>
      <c r="DG93" t="s">
        <v>172</v>
      </c>
      <c r="DH93" t="s">
        <v>3</v>
      </c>
      <c r="DI93" t="s">
        <v>172</v>
      </c>
      <c r="DJ93" t="s">
        <v>172</v>
      </c>
      <c r="DK93" t="s">
        <v>3</v>
      </c>
      <c r="DL93" t="s">
        <v>3</v>
      </c>
      <c r="DM93" t="s">
        <v>3</v>
      </c>
      <c r="DN93">
        <v>0</v>
      </c>
      <c r="DO93">
        <v>0</v>
      </c>
      <c r="DP93">
        <v>1</v>
      </c>
      <c r="DQ93">
        <v>1</v>
      </c>
      <c r="DU93">
        <v>1010</v>
      </c>
      <c r="DV93" t="s">
        <v>83</v>
      </c>
      <c r="DW93" t="s">
        <v>83</v>
      </c>
      <c r="DX93">
        <v>100</v>
      </c>
      <c r="DZ93" t="s">
        <v>3</v>
      </c>
      <c r="EA93" t="s">
        <v>3</v>
      </c>
      <c r="EB93" t="s">
        <v>3</v>
      </c>
      <c r="EC93" t="s">
        <v>3</v>
      </c>
      <c r="EE93">
        <v>80196140</v>
      </c>
      <c r="EF93">
        <v>1</v>
      </c>
      <c r="EG93" t="s">
        <v>23</v>
      </c>
      <c r="EH93">
        <v>0</v>
      </c>
      <c r="EI93" t="s">
        <v>3</v>
      </c>
      <c r="EJ93">
        <v>4</v>
      </c>
      <c r="EK93">
        <v>0</v>
      </c>
      <c r="EL93" t="s">
        <v>24</v>
      </c>
      <c r="EM93" t="s">
        <v>25</v>
      </c>
      <c r="EO93" t="s">
        <v>3</v>
      </c>
      <c r="EQ93">
        <v>0</v>
      </c>
      <c r="ER93">
        <v>1367.07</v>
      </c>
      <c r="ES93">
        <v>275</v>
      </c>
      <c r="ET93">
        <v>0</v>
      </c>
      <c r="EU93">
        <v>0</v>
      </c>
      <c r="EV93">
        <v>1092.07</v>
      </c>
      <c r="EW93">
        <v>2.41</v>
      </c>
      <c r="EX93">
        <v>0</v>
      </c>
      <c r="EY93">
        <v>0</v>
      </c>
      <c r="FQ93">
        <v>0</v>
      </c>
      <c r="FR93">
        <v>0</v>
      </c>
      <c r="FS93">
        <v>0</v>
      </c>
      <c r="FX93">
        <v>70</v>
      </c>
      <c r="FY93">
        <v>10</v>
      </c>
      <c r="GA93" t="s">
        <v>3</v>
      </c>
      <c r="GD93">
        <v>0</v>
      </c>
      <c r="GF93">
        <v>1968377727</v>
      </c>
      <c r="GG93">
        <v>2</v>
      </c>
      <c r="GH93">
        <v>1</v>
      </c>
      <c r="GI93">
        <v>-2</v>
      </c>
      <c r="GJ93">
        <v>0</v>
      </c>
      <c r="GK93">
        <f>ROUND(R93*(R12)/100,2)</f>
        <v>0</v>
      </c>
      <c r="GL93">
        <f t="shared" si="93"/>
        <v>0</v>
      </c>
      <c r="GM93">
        <f t="shared" si="94"/>
        <v>141703.51999999999</v>
      </c>
      <c r="GN93">
        <f t="shared" si="95"/>
        <v>0</v>
      </c>
      <c r="GO93">
        <f t="shared" si="96"/>
        <v>0</v>
      </c>
      <c r="GP93">
        <f t="shared" si="97"/>
        <v>141703.51999999999</v>
      </c>
      <c r="GR93">
        <v>0</v>
      </c>
      <c r="GS93">
        <v>3</v>
      </c>
      <c r="GT93">
        <v>0</v>
      </c>
      <c r="GU93" t="s">
        <v>3</v>
      </c>
      <c r="GV93">
        <f t="shared" si="98"/>
        <v>0</v>
      </c>
      <c r="GW93">
        <v>1</v>
      </c>
      <c r="GX93">
        <f t="shared" si="99"/>
        <v>0</v>
      </c>
      <c r="HA93">
        <v>0</v>
      </c>
      <c r="HB93">
        <v>0</v>
      </c>
      <c r="HC93">
        <f t="shared" si="100"/>
        <v>0</v>
      </c>
      <c r="HE93" t="s">
        <v>3</v>
      </c>
      <c r="HF93" t="s">
        <v>3</v>
      </c>
      <c r="HM93" t="s">
        <v>3</v>
      </c>
      <c r="HN93" t="s">
        <v>3</v>
      </c>
      <c r="HO93" t="s">
        <v>3</v>
      </c>
      <c r="HP93" t="s">
        <v>3</v>
      </c>
      <c r="HQ93" t="s">
        <v>3</v>
      </c>
      <c r="HS93">
        <v>0</v>
      </c>
      <c r="IK93">
        <v>0</v>
      </c>
    </row>
    <row r="94" spans="1:245" x14ac:dyDescent="0.25">
      <c r="A94">
        <v>17</v>
      </c>
      <c r="B94">
        <v>1</v>
      </c>
      <c r="C94">
        <f>ROW(SmtRes!A41)</f>
        <v>41</v>
      </c>
      <c r="D94">
        <f>ROW(EtalonRes!A41)</f>
        <v>41</v>
      </c>
      <c r="E94" t="s">
        <v>173</v>
      </c>
      <c r="F94" t="s">
        <v>174</v>
      </c>
      <c r="G94" t="s">
        <v>175</v>
      </c>
      <c r="H94" t="s">
        <v>83</v>
      </c>
      <c r="I94">
        <v>0.34</v>
      </c>
      <c r="J94">
        <v>0</v>
      </c>
      <c r="K94">
        <v>0.34</v>
      </c>
      <c r="O94">
        <f t="shared" si="69"/>
        <v>50676.32</v>
      </c>
      <c r="P94">
        <f t="shared" si="70"/>
        <v>25139.59</v>
      </c>
      <c r="Q94">
        <f t="shared" si="71"/>
        <v>0</v>
      </c>
      <c r="R94">
        <f t="shared" si="72"/>
        <v>0</v>
      </c>
      <c r="S94">
        <f t="shared" si="73"/>
        <v>25536.73</v>
      </c>
      <c r="T94">
        <f t="shared" si="74"/>
        <v>0</v>
      </c>
      <c r="U94">
        <f t="shared" si="75"/>
        <v>56.355000000000004</v>
      </c>
      <c r="V94">
        <f t="shared" si="76"/>
        <v>0</v>
      </c>
      <c r="W94">
        <f t="shared" si="77"/>
        <v>0</v>
      </c>
      <c r="X94">
        <f t="shared" si="78"/>
        <v>17875.71</v>
      </c>
      <c r="Y94">
        <f t="shared" si="79"/>
        <v>2553.67</v>
      </c>
      <c r="AA94">
        <v>80890340</v>
      </c>
      <c r="AB94">
        <f t="shared" si="80"/>
        <v>149047.99</v>
      </c>
      <c r="AC94">
        <f>ROUND(((ES94*13)),6)</f>
        <v>73939.97</v>
      </c>
      <c r="AD94">
        <f>ROUND(((((ET94*13))-((EU94*13)))+AE94),6)</f>
        <v>0</v>
      </c>
      <c r="AE94">
        <f>ROUND(((EU94*13)),6)</f>
        <v>0</v>
      </c>
      <c r="AF94">
        <f>ROUND(((EV94*13)),6)</f>
        <v>75108.02</v>
      </c>
      <c r="AG94">
        <f t="shared" si="81"/>
        <v>0</v>
      </c>
      <c r="AH94">
        <f>((EW94*13))</f>
        <v>165.75</v>
      </c>
      <c r="AI94">
        <f>((EX94*13))</f>
        <v>0</v>
      </c>
      <c r="AJ94">
        <f t="shared" si="82"/>
        <v>0</v>
      </c>
      <c r="AK94">
        <v>11465.23</v>
      </c>
      <c r="AL94">
        <v>5687.69</v>
      </c>
      <c r="AM94">
        <v>0</v>
      </c>
      <c r="AN94">
        <v>0</v>
      </c>
      <c r="AO94">
        <v>5777.54</v>
      </c>
      <c r="AP94">
        <v>0</v>
      </c>
      <c r="AQ94">
        <v>12.75</v>
      </c>
      <c r="AR94">
        <v>0</v>
      </c>
      <c r="AS94">
        <v>0</v>
      </c>
      <c r="AT94">
        <v>70</v>
      </c>
      <c r="AU94">
        <v>10</v>
      </c>
      <c r="AV94">
        <v>1</v>
      </c>
      <c r="AW94">
        <v>1</v>
      </c>
      <c r="AZ94">
        <v>1</v>
      </c>
      <c r="BA94">
        <v>1</v>
      </c>
      <c r="BB94">
        <v>1</v>
      </c>
      <c r="BC94">
        <v>1</v>
      </c>
      <c r="BD94" t="s">
        <v>3</v>
      </c>
      <c r="BE94" t="s">
        <v>3</v>
      </c>
      <c r="BF94" t="s">
        <v>3</v>
      </c>
      <c r="BG94" t="s">
        <v>3</v>
      </c>
      <c r="BH94">
        <v>0</v>
      </c>
      <c r="BI94">
        <v>4</v>
      </c>
      <c r="BJ94" t="s">
        <v>176</v>
      </c>
      <c r="BM94">
        <v>0</v>
      </c>
      <c r="BN94">
        <v>0</v>
      </c>
      <c r="BO94" t="s">
        <v>3</v>
      </c>
      <c r="BP94">
        <v>0</v>
      </c>
      <c r="BQ94">
        <v>1</v>
      </c>
      <c r="BR94">
        <v>0</v>
      </c>
      <c r="BS94">
        <v>1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3</v>
      </c>
      <c r="BZ94">
        <v>70</v>
      </c>
      <c r="CA94">
        <v>10</v>
      </c>
      <c r="CB94" t="s">
        <v>3</v>
      </c>
      <c r="CE94">
        <v>0</v>
      </c>
      <c r="CF94">
        <v>0</v>
      </c>
      <c r="CG94">
        <v>0</v>
      </c>
      <c r="CM94">
        <v>0</v>
      </c>
      <c r="CN94" t="s">
        <v>3</v>
      </c>
      <c r="CO94">
        <v>0</v>
      </c>
      <c r="CP94">
        <f t="shared" si="83"/>
        <v>50676.32</v>
      </c>
      <c r="CQ94">
        <f t="shared" si="84"/>
        <v>73939.97</v>
      </c>
      <c r="CR94">
        <f>(((((ET94*13))*BB94-((EU94*13))*BS94)+AE94*BS94)*AV94)</f>
        <v>0</v>
      </c>
      <c r="CS94">
        <f t="shared" si="85"/>
        <v>0</v>
      </c>
      <c r="CT94">
        <f t="shared" si="86"/>
        <v>75108.02</v>
      </c>
      <c r="CU94">
        <f t="shared" si="87"/>
        <v>0</v>
      </c>
      <c r="CV94">
        <f t="shared" si="88"/>
        <v>165.75</v>
      </c>
      <c r="CW94">
        <f t="shared" si="89"/>
        <v>0</v>
      </c>
      <c r="CX94">
        <f t="shared" si="90"/>
        <v>0</v>
      </c>
      <c r="CY94">
        <f t="shared" si="91"/>
        <v>17875.710999999999</v>
      </c>
      <c r="CZ94">
        <f t="shared" si="92"/>
        <v>2553.6729999999998</v>
      </c>
      <c r="DC94" t="s">
        <v>3</v>
      </c>
      <c r="DD94" t="s">
        <v>177</v>
      </c>
      <c r="DE94" t="s">
        <v>177</v>
      </c>
      <c r="DF94" t="s">
        <v>177</v>
      </c>
      <c r="DG94" t="s">
        <v>177</v>
      </c>
      <c r="DH94" t="s">
        <v>3</v>
      </c>
      <c r="DI94" t="s">
        <v>177</v>
      </c>
      <c r="DJ94" t="s">
        <v>177</v>
      </c>
      <c r="DK94" t="s">
        <v>3</v>
      </c>
      <c r="DL94" t="s">
        <v>3</v>
      </c>
      <c r="DM94" t="s">
        <v>3</v>
      </c>
      <c r="DN94">
        <v>0</v>
      </c>
      <c r="DO94">
        <v>0</v>
      </c>
      <c r="DP94">
        <v>1</v>
      </c>
      <c r="DQ94">
        <v>1</v>
      </c>
      <c r="DU94">
        <v>1010</v>
      </c>
      <c r="DV94" t="s">
        <v>83</v>
      </c>
      <c r="DW94" t="s">
        <v>83</v>
      </c>
      <c r="DX94">
        <v>100</v>
      </c>
      <c r="DZ94" t="s">
        <v>3</v>
      </c>
      <c r="EA94" t="s">
        <v>3</v>
      </c>
      <c r="EB94" t="s">
        <v>3</v>
      </c>
      <c r="EC94" t="s">
        <v>3</v>
      </c>
      <c r="EE94">
        <v>80196140</v>
      </c>
      <c r="EF94">
        <v>1</v>
      </c>
      <c r="EG94" t="s">
        <v>23</v>
      </c>
      <c r="EH94">
        <v>0</v>
      </c>
      <c r="EI94" t="s">
        <v>3</v>
      </c>
      <c r="EJ94">
        <v>4</v>
      </c>
      <c r="EK94">
        <v>0</v>
      </c>
      <c r="EL94" t="s">
        <v>24</v>
      </c>
      <c r="EM94" t="s">
        <v>25</v>
      </c>
      <c r="EO94" t="s">
        <v>3</v>
      </c>
      <c r="EQ94">
        <v>0</v>
      </c>
      <c r="ER94">
        <v>11465.23</v>
      </c>
      <c r="ES94">
        <v>5687.69</v>
      </c>
      <c r="ET94">
        <v>0</v>
      </c>
      <c r="EU94">
        <v>0</v>
      </c>
      <c r="EV94">
        <v>5777.54</v>
      </c>
      <c r="EW94">
        <v>12.75</v>
      </c>
      <c r="EX94">
        <v>0</v>
      </c>
      <c r="EY94">
        <v>0</v>
      </c>
      <c r="FQ94">
        <v>0</v>
      </c>
      <c r="FR94">
        <v>0</v>
      </c>
      <c r="FS94">
        <v>0</v>
      </c>
      <c r="FX94">
        <v>70</v>
      </c>
      <c r="FY94">
        <v>10</v>
      </c>
      <c r="GA94" t="s">
        <v>3</v>
      </c>
      <c r="GD94">
        <v>0</v>
      </c>
      <c r="GF94">
        <v>-451448609</v>
      </c>
      <c r="GG94">
        <v>2</v>
      </c>
      <c r="GH94">
        <v>1</v>
      </c>
      <c r="GI94">
        <v>-2</v>
      </c>
      <c r="GJ94">
        <v>0</v>
      </c>
      <c r="GK94">
        <f>ROUND(R94*(R12)/100,2)</f>
        <v>0</v>
      </c>
      <c r="GL94">
        <f t="shared" si="93"/>
        <v>0</v>
      </c>
      <c r="GM94">
        <f t="shared" si="94"/>
        <v>71105.7</v>
      </c>
      <c r="GN94">
        <f t="shared" si="95"/>
        <v>0</v>
      </c>
      <c r="GO94">
        <f t="shared" si="96"/>
        <v>0</v>
      </c>
      <c r="GP94">
        <f t="shared" si="97"/>
        <v>71105.7</v>
      </c>
      <c r="GR94">
        <v>0</v>
      </c>
      <c r="GS94">
        <v>3</v>
      </c>
      <c r="GT94">
        <v>0</v>
      </c>
      <c r="GU94" t="s">
        <v>3</v>
      </c>
      <c r="GV94">
        <f t="shared" si="98"/>
        <v>0</v>
      </c>
      <c r="GW94">
        <v>1</v>
      </c>
      <c r="GX94">
        <f t="shared" si="99"/>
        <v>0</v>
      </c>
      <c r="HA94">
        <v>0</v>
      </c>
      <c r="HB94">
        <v>0</v>
      </c>
      <c r="HC94">
        <f t="shared" si="100"/>
        <v>0</v>
      </c>
      <c r="HE94" t="s">
        <v>3</v>
      </c>
      <c r="HF94" t="s">
        <v>3</v>
      </c>
      <c r="HM94" t="s">
        <v>3</v>
      </c>
      <c r="HN94" t="s">
        <v>3</v>
      </c>
      <c r="HO94" t="s">
        <v>3</v>
      </c>
      <c r="HP94" t="s">
        <v>3</v>
      </c>
      <c r="HQ94" t="s">
        <v>3</v>
      </c>
      <c r="HS94">
        <v>0</v>
      </c>
      <c r="IK94">
        <v>0</v>
      </c>
    </row>
    <row r="95" spans="1:245" x14ac:dyDescent="0.25">
      <c r="A95">
        <v>17</v>
      </c>
      <c r="B95">
        <v>1</v>
      </c>
      <c r="C95">
        <f>ROW(SmtRes!A42)</f>
        <v>42</v>
      </c>
      <c r="D95">
        <f>ROW(EtalonRes!A42)</f>
        <v>42</v>
      </c>
      <c r="E95" t="s">
        <v>178</v>
      </c>
      <c r="F95" t="s">
        <v>179</v>
      </c>
      <c r="G95" t="s">
        <v>180</v>
      </c>
      <c r="H95" t="s">
        <v>181</v>
      </c>
      <c r="I95">
        <v>3</v>
      </c>
      <c r="J95">
        <v>0</v>
      </c>
      <c r="K95">
        <v>3</v>
      </c>
      <c r="O95">
        <f t="shared" si="69"/>
        <v>69737.22</v>
      </c>
      <c r="P95">
        <f t="shared" si="70"/>
        <v>0</v>
      </c>
      <c r="Q95">
        <f t="shared" si="71"/>
        <v>0</v>
      </c>
      <c r="R95">
        <f t="shared" si="72"/>
        <v>0</v>
      </c>
      <c r="S95">
        <f t="shared" si="73"/>
        <v>69737.22</v>
      </c>
      <c r="T95">
        <f t="shared" si="74"/>
        <v>0</v>
      </c>
      <c r="U95">
        <f t="shared" si="75"/>
        <v>153.89999999999998</v>
      </c>
      <c r="V95">
        <f t="shared" si="76"/>
        <v>0</v>
      </c>
      <c r="W95">
        <f t="shared" si="77"/>
        <v>0</v>
      </c>
      <c r="X95">
        <f t="shared" si="78"/>
        <v>48816.05</v>
      </c>
      <c r="Y95">
        <f t="shared" si="79"/>
        <v>6973.72</v>
      </c>
      <c r="AA95">
        <v>80890340</v>
      </c>
      <c r="AB95">
        <f t="shared" si="80"/>
        <v>23245.74</v>
      </c>
      <c r="AC95">
        <f>ROUND(((ES95*171)),6)</f>
        <v>0</v>
      </c>
      <c r="AD95">
        <f>ROUND(((((ET95*171))-((EU95*171)))+AE95),6)</f>
        <v>0</v>
      </c>
      <c r="AE95">
        <f>ROUND(((EU95*171)),6)</f>
        <v>0</v>
      </c>
      <c r="AF95">
        <f>ROUND(((EV95*171)),6)</f>
        <v>23245.74</v>
      </c>
      <c r="AG95">
        <f t="shared" si="81"/>
        <v>0</v>
      </c>
      <c r="AH95">
        <f>((EW95*171))</f>
        <v>51.3</v>
      </c>
      <c r="AI95">
        <f>((EX95*171))</f>
        <v>0</v>
      </c>
      <c r="AJ95">
        <f t="shared" si="82"/>
        <v>0</v>
      </c>
      <c r="AK95">
        <v>135.94</v>
      </c>
      <c r="AL95">
        <v>0</v>
      </c>
      <c r="AM95">
        <v>0</v>
      </c>
      <c r="AN95">
        <v>0</v>
      </c>
      <c r="AO95">
        <v>135.94</v>
      </c>
      <c r="AP95">
        <v>0</v>
      </c>
      <c r="AQ95">
        <v>0.3</v>
      </c>
      <c r="AR95">
        <v>0</v>
      </c>
      <c r="AS95">
        <v>0</v>
      </c>
      <c r="AT95">
        <v>70</v>
      </c>
      <c r="AU95">
        <v>10</v>
      </c>
      <c r="AV95">
        <v>1</v>
      </c>
      <c r="AW95">
        <v>1</v>
      </c>
      <c r="AZ95">
        <v>1</v>
      </c>
      <c r="BA95">
        <v>1</v>
      </c>
      <c r="BB95">
        <v>1</v>
      </c>
      <c r="BC95">
        <v>1</v>
      </c>
      <c r="BD95" t="s">
        <v>3</v>
      </c>
      <c r="BE95" t="s">
        <v>3</v>
      </c>
      <c r="BF95" t="s">
        <v>3</v>
      </c>
      <c r="BG95" t="s">
        <v>3</v>
      </c>
      <c r="BH95">
        <v>0</v>
      </c>
      <c r="BI95">
        <v>4</v>
      </c>
      <c r="BJ95" t="s">
        <v>182</v>
      </c>
      <c r="BM95">
        <v>0</v>
      </c>
      <c r="BN95">
        <v>0</v>
      </c>
      <c r="BO95" t="s">
        <v>3</v>
      </c>
      <c r="BP95">
        <v>0</v>
      </c>
      <c r="BQ95">
        <v>1</v>
      </c>
      <c r="BR95">
        <v>0</v>
      </c>
      <c r="BS95">
        <v>1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3</v>
      </c>
      <c r="BZ95">
        <v>70</v>
      </c>
      <c r="CA95">
        <v>10</v>
      </c>
      <c r="CB95" t="s">
        <v>3</v>
      </c>
      <c r="CE95">
        <v>0</v>
      </c>
      <c r="CF95">
        <v>0</v>
      </c>
      <c r="CG95">
        <v>0</v>
      </c>
      <c r="CM95">
        <v>0</v>
      </c>
      <c r="CN95" t="s">
        <v>3</v>
      </c>
      <c r="CO95">
        <v>0</v>
      </c>
      <c r="CP95">
        <f t="shared" si="83"/>
        <v>69737.22</v>
      </c>
      <c r="CQ95">
        <f t="shared" si="84"/>
        <v>0</v>
      </c>
      <c r="CR95">
        <f>(((((ET95*171))*BB95-((EU95*171))*BS95)+AE95*BS95)*AV95)</f>
        <v>0</v>
      </c>
      <c r="CS95">
        <f t="shared" si="85"/>
        <v>0</v>
      </c>
      <c r="CT95">
        <f t="shared" si="86"/>
        <v>23245.74</v>
      </c>
      <c r="CU95">
        <f t="shared" si="87"/>
        <v>0</v>
      </c>
      <c r="CV95">
        <f t="shared" si="88"/>
        <v>51.3</v>
      </c>
      <c r="CW95">
        <f t="shared" si="89"/>
        <v>0</v>
      </c>
      <c r="CX95">
        <f t="shared" si="90"/>
        <v>0</v>
      </c>
      <c r="CY95">
        <f t="shared" si="91"/>
        <v>48816.054000000004</v>
      </c>
      <c r="CZ95">
        <f t="shared" si="92"/>
        <v>6973.7219999999998</v>
      </c>
      <c r="DC95" t="s">
        <v>3</v>
      </c>
      <c r="DD95" t="s">
        <v>149</v>
      </c>
      <c r="DE95" t="s">
        <v>149</v>
      </c>
      <c r="DF95" t="s">
        <v>149</v>
      </c>
      <c r="DG95" t="s">
        <v>149</v>
      </c>
      <c r="DH95" t="s">
        <v>3</v>
      </c>
      <c r="DI95" t="s">
        <v>149</v>
      </c>
      <c r="DJ95" t="s">
        <v>149</v>
      </c>
      <c r="DK95" t="s">
        <v>3</v>
      </c>
      <c r="DL95" t="s">
        <v>3</v>
      </c>
      <c r="DM95" t="s">
        <v>3</v>
      </c>
      <c r="DN95">
        <v>0</v>
      </c>
      <c r="DO95">
        <v>0</v>
      </c>
      <c r="DP95">
        <v>1</v>
      </c>
      <c r="DQ95">
        <v>1</v>
      </c>
      <c r="DU95">
        <v>1005</v>
      </c>
      <c r="DV95" t="s">
        <v>181</v>
      </c>
      <c r="DW95" t="s">
        <v>181</v>
      </c>
      <c r="DX95">
        <v>10</v>
      </c>
      <c r="DZ95" t="s">
        <v>3</v>
      </c>
      <c r="EA95" t="s">
        <v>3</v>
      </c>
      <c r="EB95" t="s">
        <v>3</v>
      </c>
      <c r="EC95" t="s">
        <v>3</v>
      </c>
      <c r="EE95">
        <v>80196140</v>
      </c>
      <c r="EF95">
        <v>1</v>
      </c>
      <c r="EG95" t="s">
        <v>23</v>
      </c>
      <c r="EH95">
        <v>0</v>
      </c>
      <c r="EI95" t="s">
        <v>3</v>
      </c>
      <c r="EJ95">
        <v>4</v>
      </c>
      <c r="EK95">
        <v>0</v>
      </c>
      <c r="EL95" t="s">
        <v>24</v>
      </c>
      <c r="EM95" t="s">
        <v>25</v>
      </c>
      <c r="EO95" t="s">
        <v>3</v>
      </c>
      <c r="EQ95">
        <v>0</v>
      </c>
      <c r="ER95">
        <v>135.94</v>
      </c>
      <c r="ES95">
        <v>0</v>
      </c>
      <c r="ET95">
        <v>0</v>
      </c>
      <c r="EU95">
        <v>0</v>
      </c>
      <c r="EV95">
        <v>135.94</v>
      </c>
      <c r="EW95">
        <v>0.3</v>
      </c>
      <c r="EX95">
        <v>0</v>
      </c>
      <c r="EY95">
        <v>0</v>
      </c>
      <c r="FQ95">
        <v>0</v>
      </c>
      <c r="FR95">
        <v>0</v>
      </c>
      <c r="FS95">
        <v>0</v>
      </c>
      <c r="FX95">
        <v>70</v>
      </c>
      <c r="FY95">
        <v>10</v>
      </c>
      <c r="GA95" t="s">
        <v>3</v>
      </c>
      <c r="GD95">
        <v>0</v>
      </c>
      <c r="GF95">
        <v>-424361502</v>
      </c>
      <c r="GG95">
        <v>2</v>
      </c>
      <c r="GH95">
        <v>1</v>
      </c>
      <c r="GI95">
        <v>-2</v>
      </c>
      <c r="GJ95">
        <v>0</v>
      </c>
      <c r="GK95">
        <f>ROUND(R95*(R12)/100,2)</f>
        <v>0</v>
      </c>
      <c r="GL95">
        <f t="shared" si="93"/>
        <v>0</v>
      </c>
      <c r="GM95">
        <f t="shared" si="94"/>
        <v>125526.99</v>
      </c>
      <c r="GN95">
        <f t="shared" si="95"/>
        <v>0</v>
      </c>
      <c r="GO95">
        <f t="shared" si="96"/>
        <v>0</v>
      </c>
      <c r="GP95">
        <f t="shared" si="97"/>
        <v>125526.99</v>
      </c>
      <c r="GR95">
        <v>0</v>
      </c>
      <c r="GS95">
        <v>3</v>
      </c>
      <c r="GT95">
        <v>0</v>
      </c>
      <c r="GU95" t="s">
        <v>3</v>
      </c>
      <c r="GV95">
        <f t="shared" si="98"/>
        <v>0</v>
      </c>
      <c r="GW95">
        <v>1</v>
      </c>
      <c r="GX95">
        <f t="shared" si="99"/>
        <v>0</v>
      </c>
      <c r="HA95">
        <v>0</v>
      </c>
      <c r="HB95">
        <v>0</v>
      </c>
      <c r="HC95">
        <f t="shared" si="100"/>
        <v>0</v>
      </c>
      <c r="HE95" t="s">
        <v>3</v>
      </c>
      <c r="HF95" t="s">
        <v>3</v>
      </c>
      <c r="HM95" t="s">
        <v>3</v>
      </c>
      <c r="HN95" t="s">
        <v>3</v>
      </c>
      <c r="HO95" t="s">
        <v>3</v>
      </c>
      <c r="HP95" t="s">
        <v>3</v>
      </c>
      <c r="HQ95" t="s">
        <v>3</v>
      </c>
      <c r="HS95">
        <v>0</v>
      </c>
      <c r="IK95">
        <v>0</v>
      </c>
    </row>
    <row r="96" spans="1:245" x14ac:dyDescent="0.25">
      <c r="A96">
        <v>17</v>
      </c>
      <c r="B96">
        <v>1</v>
      </c>
      <c r="C96">
        <f>ROW(SmtRes!A46)</f>
        <v>46</v>
      </c>
      <c r="D96">
        <f>ROW(EtalonRes!A46)</f>
        <v>46</v>
      </c>
      <c r="E96" t="s">
        <v>183</v>
      </c>
      <c r="F96" t="s">
        <v>184</v>
      </c>
      <c r="G96" t="s">
        <v>185</v>
      </c>
      <c r="H96" t="s">
        <v>29</v>
      </c>
      <c r="I96">
        <v>0.35749999999999998</v>
      </c>
      <c r="J96">
        <v>0</v>
      </c>
      <c r="K96">
        <v>0.35749999999999998</v>
      </c>
      <c r="O96">
        <f t="shared" si="69"/>
        <v>3777.23</v>
      </c>
      <c r="P96">
        <f t="shared" si="70"/>
        <v>47.03</v>
      </c>
      <c r="Q96">
        <f t="shared" si="71"/>
        <v>3117.85</v>
      </c>
      <c r="R96">
        <f t="shared" si="72"/>
        <v>1366.33</v>
      </c>
      <c r="S96">
        <f t="shared" si="73"/>
        <v>612.35</v>
      </c>
      <c r="T96">
        <f t="shared" si="74"/>
        <v>0</v>
      </c>
      <c r="U96">
        <f t="shared" si="75"/>
        <v>1.3513500000000001</v>
      </c>
      <c r="V96">
        <f t="shared" si="76"/>
        <v>0</v>
      </c>
      <c r="W96">
        <f t="shared" si="77"/>
        <v>0</v>
      </c>
      <c r="X96">
        <f t="shared" si="78"/>
        <v>428.65</v>
      </c>
      <c r="Y96">
        <f t="shared" si="79"/>
        <v>61.24</v>
      </c>
      <c r="AA96">
        <v>80890340</v>
      </c>
      <c r="AB96">
        <f t="shared" si="80"/>
        <v>10565.7</v>
      </c>
      <c r="AC96">
        <f>ROUND(((ES96*3)),6)</f>
        <v>131.55000000000001</v>
      </c>
      <c r="AD96">
        <f>ROUND(((((ET96*3))-((EU96*3)))+AE96),6)</f>
        <v>8721.27</v>
      </c>
      <c r="AE96">
        <f>ROUND(((EU96*3)),6)</f>
        <v>3821.91</v>
      </c>
      <c r="AF96">
        <f>ROUND(((EV96*3)),6)</f>
        <v>1712.88</v>
      </c>
      <c r="AG96">
        <f t="shared" si="81"/>
        <v>0</v>
      </c>
      <c r="AH96">
        <f>((EW96*3))</f>
        <v>3.7800000000000002</v>
      </c>
      <c r="AI96">
        <f>((EX96*3))</f>
        <v>0</v>
      </c>
      <c r="AJ96">
        <f t="shared" si="82"/>
        <v>0</v>
      </c>
      <c r="AK96">
        <v>3521.9</v>
      </c>
      <c r="AL96">
        <v>43.85</v>
      </c>
      <c r="AM96">
        <v>2907.09</v>
      </c>
      <c r="AN96">
        <v>1273.97</v>
      </c>
      <c r="AO96">
        <v>570.96</v>
      </c>
      <c r="AP96">
        <v>0</v>
      </c>
      <c r="AQ96">
        <v>1.26</v>
      </c>
      <c r="AR96">
        <v>0</v>
      </c>
      <c r="AS96">
        <v>0</v>
      </c>
      <c r="AT96">
        <v>70</v>
      </c>
      <c r="AU96">
        <v>10</v>
      </c>
      <c r="AV96">
        <v>1</v>
      </c>
      <c r="AW96">
        <v>1</v>
      </c>
      <c r="AZ96">
        <v>1</v>
      </c>
      <c r="BA96">
        <v>1</v>
      </c>
      <c r="BB96">
        <v>1</v>
      </c>
      <c r="BC96">
        <v>1</v>
      </c>
      <c r="BD96" t="s">
        <v>3</v>
      </c>
      <c r="BE96" t="s">
        <v>3</v>
      </c>
      <c r="BF96" t="s">
        <v>3</v>
      </c>
      <c r="BG96" t="s">
        <v>3</v>
      </c>
      <c r="BH96">
        <v>0</v>
      </c>
      <c r="BI96">
        <v>4</v>
      </c>
      <c r="BJ96" t="s">
        <v>186</v>
      </c>
      <c r="BM96">
        <v>0</v>
      </c>
      <c r="BN96">
        <v>0</v>
      </c>
      <c r="BO96" t="s">
        <v>3</v>
      </c>
      <c r="BP96">
        <v>0</v>
      </c>
      <c r="BQ96">
        <v>1</v>
      </c>
      <c r="BR96">
        <v>0</v>
      </c>
      <c r="BS96">
        <v>1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3</v>
      </c>
      <c r="BZ96">
        <v>70</v>
      </c>
      <c r="CA96">
        <v>10</v>
      </c>
      <c r="CB96" t="s">
        <v>3</v>
      </c>
      <c r="CE96">
        <v>0</v>
      </c>
      <c r="CF96">
        <v>0</v>
      </c>
      <c r="CG96">
        <v>0</v>
      </c>
      <c r="CM96">
        <v>0</v>
      </c>
      <c r="CN96" t="s">
        <v>3</v>
      </c>
      <c r="CO96">
        <v>0</v>
      </c>
      <c r="CP96">
        <f t="shared" si="83"/>
        <v>3777.23</v>
      </c>
      <c r="CQ96">
        <f t="shared" si="84"/>
        <v>131.55000000000001</v>
      </c>
      <c r="CR96">
        <f>(((((ET96*3))*BB96-((EU96*3))*BS96)+AE96*BS96)*AV96)</f>
        <v>8721.27</v>
      </c>
      <c r="CS96">
        <f t="shared" si="85"/>
        <v>3821.91</v>
      </c>
      <c r="CT96">
        <f t="shared" si="86"/>
        <v>1712.88</v>
      </c>
      <c r="CU96">
        <f t="shared" si="87"/>
        <v>0</v>
      </c>
      <c r="CV96">
        <f t="shared" si="88"/>
        <v>3.7800000000000002</v>
      </c>
      <c r="CW96">
        <f t="shared" si="89"/>
        <v>0</v>
      </c>
      <c r="CX96">
        <f t="shared" si="90"/>
        <v>0</v>
      </c>
      <c r="CY96">
        <f t="shared" si="91"/>
        <v>428.64499999999998</v>
      </c>
      <c r="CZ96">
        <f t="shared" si="92"/>
        <v>61.234999999999999</v>
      </c>
      <c r="DC96" t="s">
        <v>3</v>
      </c>
      <c r="DD96" t="s">
        <v>187</v>
      </c>
      <c r="DE96" t="s">
        <v>187</v>
      </c>
      <c r="DF96" t="s">
        <v>187</v>
      </c>
      <c r="DG96" t="s">
        <v>187</v>
      </c>
      <c r="DH96" t="s">
        <v>3</v>
      </c>
      <c r="DI96" t="s">
        <v>187</v>
      </c>
      <c r="DJ96" t="s">
        <v>187</v>
      </c>
      <c r="DK96" t="s">
        <v>3</v>
      </c>
      <c r="DL96" t="s">
        <v>3</v>
      </c>
      <c r="DM96" t="s">
        <v>3</v>
      </c>
      <c r="DN96">
        <v>0</v>
      </c>
      <c r="DO96">
        <v>0</v>
      </c>
      <c r="DP96">
        <v>1</v>
      </c>
      <c r="DQ96">
        <v>1</v>
      </c>
      <c r="DU96">
        <v>1005</v>
      </c>
      <c r="DV96" t="s">
        <v>29</v>
      </c>
      <c r="DW96" t="s">
        <v>29</v>
      </c>
      <c r="DX96">
        <v>100</v>
      </c>
      <c r="DZ96" t="s">
        <v>3</v>
      </c>
      <c r="EA96" t="s">
        <v>3</v>
      </c>
      <c r="EB96" t="s">
        <v>3</v>
      </c>
      <c r="EC96" t="s">
        <v>3</v>
      </c>
      <c r="EE96">
        <v>80196140</v>
      </c>
      <c r="EF96">
        <v>1</v>
      </c>
      <c r="EG96" t="s">
        <v>23</v>
      </c>
      <c r="EH96">
        <v>0</v>
      </c>
      <c r="EI96" t="s">
        <v>3</v>
      </c>
      <c r="EJ96">
        <v>4</v>
      </c>
      <c r="EK96">
        <v>0</v>
      </c>
      <c r="EL96" t="s">
        <v>24</v>
      </c>
      <c r="EM96" t="s">
        <v>25</v>
      </c>
      <c r="EO96" t="s">
        <v>3</v>
      </c>
      <c r="EQ96">
        <v>0</v>
      </c>
      <c r="ER96">
        <v>3521.9</v>
      </c>
      <c r="ES96">
        <v>43.85</v>
      </c>
      <c r="ET96">
        <v>2907.09</v>
      </c>
      <c r="EU96">
        <v>1273.97</v>
      </c>
      <c r="EV96">
        <v>570.96</v>
      </c>
      <c r="EW96">
        <v>1.26</v>
      </c>
      <c r="EX96">
        <v>0</v>
      </c>
      <c r="EY96">
        <v>0</v>
      </c>
      <c r="FQ96">
        <v>0</v>
      </c>
      <c r="FR96">
        <v>0</v>
      </c>
      <c r="FS96">
        <v>0</v>
      </c>
      <c r="FX96">
        <v>70</v>
      </c>
      <c r="FY96">
        <v>10</v>
      </c>
      <c r="GA96" t="s">
        <v>3</v>
      </c>
      <c r="GD96">
        <v>0</v>
      </c>
      <c r="GF96">
        <v>-1951882536</v>
      </c>
      <c r="GG96">
        <v>2</v>
      </c>
      <c r="GH96">
        <v>1</v>
      </c>
      <c r="GI96">
        <v>-2</v>
      </c>
      <c r="GJ96">
        <v>0</v>
      </c>
      <c r="GK96">
        <f>ROUND(R96*(R12)/100,2)</f>
        <v>1475.64</v>
      </c>
      <c r="GL96">
        <f t="shared" si="93"/>
        <v>0</v>
      </c>
      <c r="GM96">
        <f t="shared" si="94"/>
        <v>5742.76</v>
      </c>
      <c r="GN96">
        <f t="shared" si="95"/>
        <v>0</v>
      </c>
      <c r="GO96">
        <f t="shared" si="96"/>
        <v>0</v>
      </c>
      <c r="GP96">
        <f t="shared" si="97"/>
        <v>5742.76</v>
      </c>
      <c r="GR96">
        <v>0</v>
      </c>
      <c r="GS96">
        <v>3</v>
      </c>
      <c r="GT96">
        <v>0</v>
      </c>
      <c r="GU96" t="s">
        <v>3</v>
      </c>
      <c r="GV96">
        <f t="shared" si="98"/>
        <v>0</v>
      </c>
      <c r="GW96">
        <v>1</v>
      </c>
      <c r="GX96">
        <f t="shared" si="99"/>
        <v>0</v>
      </c>
      <c r="HA96">
        <v>0</v>
      </c>
      <c r="HB96">
        <v>0</v>
      </c>
      <c r="HC96">
        <f t="shared" si="100"/>
        <v>0</v>
      </c>
      <c r="HE96" t="s">
        <v>3</v>
      </c>
      <c r="HF96" t="s">
        <v>3</v>
      </c>
      <c r="HM96" t="s">
        <v>3</v>
      </c>
      <c r="HN96" t="s">
        <v>3</v>
      </c>
      <c r="HO96" t="s">
        <v>3</v>
      </c>
      <c r="HP96" t="s">
        <v>3</v>
      </c>
      <c r="HQ96" t="s">
        <v>3</v>
      </c>
      <c r="HS96">
        <v>0</v>
      </c>
      <c r="IK96">
        <v>0</v>
      </c>
    </row>
    <row r="97" spans="1:245" x14ac:dyDescent="0.25">
      <c r="A97">
        <v>18</v>
      </c>
      <c r="B97">
        <v>1</v>
      </c>
      <c r="C97">
        <v>46</v>
      </c>
      <c r="E97" t="s">
        <v>188</v>
      </c>
      <c r="F97" t="s">
        <v>37</v>
      </c>
      <c r="G97" t="s">
        <v>38</v>
      </c>
      <c r="H97" t="s">
        <v>39</v>
      </c>
      <c r="I97">
        <f>I96*J97</f>
        <v>-0.85799999999999998</v>
      </c>
      <c r="J97">
        <v>-2.4</v>
      </c>
      <c r="K97">
        <v>-0.8</v>
      </c>
      <c r="O97">
        <f t="shared" si="69"/>
        <v>-47.03</v>
      </c>
      <c r="P97">
        <f t="shared" si="70"/>
        <v>-47.03</v>
      </c>
      <c r="Q97">
        <f t="shared" si="71"/>
        <v>0</v>
      </c>
      <c r="R97">
        <f t="shared" si="72"/>
        <v>0</v>
      </c>
      <c r="S97">
        <f t="shared" si="73"/>
        <v>0</v>
      </c>
      <c r="T97">
        <f t="shared" si="74"/>
        <v>0</v>
      </c>
      <c r="U97">
        <f t="shared" si="75"/>
        <v>0</v>
      </c>
      <c r="V97">
        <f t="shared" si="76"/>
        <v>0</v>
      </c>
      <c r="W97">
        <f t="shared" si="77"/>
        <v>0</v>
      </c>
      <c r="X97">
        <f t="shared" si="78"/>
        <v>0</v>
      </c>
      <c r="Y97">
        <f t="shared" si="79"/>
        <v>0</v>
      </c>
      <c r="AA97">
        <v>80890340</v>
      </c>
      <c r="AB97">
        <f t="shared" si="80"/>
        <v>54.81</v>
      </c>
      <c r="AC97">
        <f>ROUND((ES97),6)</f>
        <v>54.81</v>
      </c>
      <c r="AD97">
        <f>ROUND((((ET97)-(EU97))+AE97),6)</f>
        <v>0</v>
      </c>
      <c r="AE97">
        <f>ROUND((EU97),6)</f>
        <v>0</v>
      </c>
      <c r="AF97">
        <f>ROUND((EV97),6)</f>
        <v>0</v>
      </c>
      <c r="AG97">
        <f t="shared" si="81"/>
        <v>0</v>
      </c>
      <c r="AH97">
        <f>(EW97)</f>
        <v>0</v>
      </c>
      <c r="AI97">
        <f>(EX97)</f>
        <v>0</v>
      </c>
      <c r="AJ97">
        <f t="shared" si="82"/>
        <v>0</v>
      </c>
      <c r="AK97">
        <v>54.81</v>
      </c>
      <c r="AL97">
        <v>54.81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70</v>
      </c>
      <c r="AU97">
        <v>10</v>
      </c>
      <c r="AV97">
        <v>1</v>
      </c>
      <c r="AW97">
        <v>1</v>
      </c>
      <c r="AZ97">
        <v>1</v>
      </c>
      <c r="BA97">
        <v>1</v>
      </c>
      <c r="BB97">
        <v>1</v>
      </c>
      <c r="BC97">
        <v>1</v>
      </c>
      <c r="BD97" t="s">
        <v>3</v>
      </c>
      <c r="BE97" t="s">
        <v>3</v>
      </c>
      <c r="BF97" t="s">
        <v>3</v>
      </c>
      <c r="BG97" t="s">
        <v>3</v>
      </c>
      <c r="BH97">
        <v>3</v>
      </c>
      <c r="BI97">
        <v>4</v>
      </c>
      <c r="BJ97" t="s">
        <v>40</v>
      </c>
      <c r="BM97">
        <v>0</v>
      </c>
      <c r="BN97">
        <v>0</v>
      </c>
      <c r="BO97" t="s">
        <v>3</v>
      </c>
      <c r="BP97">
        <v>0</v>
      </c>
      <c r="BQ97">
        <v>1</v>
      </c>
      <c r="BR97">
        <v>1</v>
      </c>
      <c r="BS97">
        <v>1</v>
      </c>
      <c r="BT97">
        <v>1</v>
      </c>
      <c r="BU97">
        <v>1</v>
      </c>
      <c r="BV97">
        <v>1</v>
      </c>
      <c r="BW97">
        <v>1</v>
      </c>
      <c r="BX97">
        <v>1</v>
      </c>
      <c r="BY97" t="s">
        <v>3</v>
      </c>
      <c r="BZ97">
        <v>70</v>
      </c>
      <c r="CA97">
        <v>10</v>
      </c>
      <c r="CB97" t="s">
        <v>3</v>
      </c>
      <c r="CE97">
        <v>0</v>
      </c>
      <c r="CF97">
        <v>0</v>
      </c>
      <c r="CG97">
        <v>0</v>
      </c>
      <c r="CM97">
        <v>0</v>
      </c>
      <c r="CN97" t="s">
        <v>3</v>
      </c>
      <c r="CO97">
        <v>0</v>
      </c>
      <c r="CP97">
        <f t="shared" si="83"/>
        <v>-47.03</v>
      </c>
      <c r="CQ97">
        <f t="shared" si="84"/>
        <v>54.81</v>
      </c>
      <c r="CR97">
        <f>((((ET97)*BB97-(EU97)*BS97)+AE97*BS97)*AV97)</f>
        <v>0</v>
      </c>
      <c r="CS97">
        <f t="shared" si="85"/>
        <v>0</v>
      </c>
      <c r="CT97">
        <f t="shared" si="86"/>
        <v>0</v>
      </c>
      <c r="CU97">
        <f t="shared" si="87"/>
        <v>0</v>
      </c>
      <c r="CV97">
        <f t="shared" si="88"/>
        <v>0</v>
      </c>
      <c r="CW97">
        <f t="shared" si="89"/>
        <v>0</v>
      </c>
      <c r="CX97">
        <f t="shared" si="90"/>
        <v>0</v>
      </c>
      <c r="CY97">
        <f t="shared" si="91"/>
        <v>0</v>
      </c>
      <c r="CZ97">
        <f t="shared" si="92"/>
        <v>0</v>
      </c>
      <c r="DC97" t="s">
        <v>3</v>
      </c>
      <c r="DD97" t="s">
        <v>3</v>
      </c>
      <c r="DE97" t="s">
        <v>3</v>
      </c>
      <c r="DF97" t="s">
        <v>3</v>
      </c>
      <c r="DG97" t="s">
        <v>3</v>
      </c>
      <c r="DH97" t="s">
        <v>3</v>
      </c>
      <c r="DI97" t="s">
        <v>3</v>
      </c>
      <c r="DJ97" t="s">
        <v>3</v>
      </c>
      <c r="DK97" t="s">
        <v>3</v>
      </c>
      <c r="DL97" t="s">
        <v>3</v>
      </c>
      <c r="DM97" t="s">
        <v>3</v>
      </c>
      <c r="DN97">
        <v>0</v>
      </c>
      <c r="DO97">
        <v>0</v>
      </c>
      <c r="DP97">
        <v>1</v>
      </c>
      <c r="DQ97">
        <v>1</v>
      </c>
      <c r="DU97">
        <v>1007</v>
      </c>
      <c r="DV97" t="s">
        <v>39</v>
      </c>
      <c r="DW97" t="s">
        <v>39</v>
      </c>
      <c r="DX97">
        <v>1</v>
      </c>
      <c r="DZ97" t="s">
        <v>3</v>
      </c>
      <c r="EA97" t="s">
        <v>3</v>
      </c>
      <c r="EB97" t="s">
        <v>3</v>
      </c>
      <c r="EC97" t="s">
        <v>3</v>
      </c>
      <c r="EE97">
        <v>80196140</v>
      </c>
      <c r="EF97">
        <v>1</v>
      </c>
      <c r="EG97" t="s">
        <v>23</v>
      </c>
      <c r="EH97">
        <v>0</v>
      </c>
      <c r="EI97" t="s">
        <v>3</v>
      </c>
      <c r="EJ97">
        <v>4</v>
      </c>
      <c r="EK97">
        <v>0</v>
      </c>
      <c r="EL97" t="s">
        <v>24</v>
      </c>
      <c r="EM97" t="s">
        <v>25</v>
      </c>
      <c r="EO97" t="s">
        <v>3</v>
      </c>
      <c r="EQ97">
        <v>0</v>
      </c>
      <c r="ER97">
        <v>54.81</v>
      </c>
      <c r="ES97">
        <v>54.81</v>
      </c>
      <c r="ET97">
        <v>0</v>
      </c>
      <c r="EU97">
        <v>0</v>
      </c>
      <c r="EV97">
        <v>0</v>
      </c>
      <c r="EW97">
        <v>0</v>
      </c>
      <c r="EX97">
        <v>0</v>
      </c>
      <c r="FQ97">
        <v>0</v>
      </c>
      <c r="FR97">
        <v>0</v>
      </c>
      <c r="FS97">
        <v>0</v>
      </c>
      <c r="FX97">
        <v>70</v>
      </c>
      <c r="FY97">
        <v>10</v>
      </c>
      <c r="GA97" t="s">
        <v>3</v>
      </c>
      <c r="GD97">
        <v>0</v>
      </c>
      <c r="GF97">
        <v>2112060389</v>
      </c>
      <c r="GG97">
        <v>2</v>
      </c>
      <c r="GH97">
        <v>1</v>
      </c>
      <c r="GI97">
        <v>-2</v>
      </c>
      <c r="GJ97">
        <v>0</v>
      </c>
      <c r="GK97">
        <f>ROUND(R97*(R12)/100,2)</f>
        <v>0</v>
      </c>
      <c r="GL97">
        <f t="shared" si="93"/>
        <v>0</v>
      </c>
      <c r="GM97">
        <f t="shared" si="94"/>
        <v>-47.03</v>
      </c>
      <c r="GN97">
        <f t="shared" si="95"/>
        <v>0</v>
      </c>
      <c r="GO97">
        <f t="shared" si="96"/>
        <v>0</v>
      </c>
      <c r="GP97">
        <f t="shared" si="97"/>
        <v>-47.03</v>
      </c>
      <c r="GR97">
        <v>0</v>
      </c>
      <c r="GS97">
        <v>3</v>
      </c>
      <c r="GT97">
        <v>0</v>
      </c>
      <c r="GU97" t="s">
        <v>3</v>
      </c>
      <c r="GV97">
        <f t="shared" si="98"/>
        <v>0</v>
      </c>
      <c r="GW97">
        <v>1</v>
      </c>
      <c r="GX97">
        <f t="shared" si="99"/>
        <v>0</v>
      </c>
      <c r="HA97">
        <v>0</v>
      </c>
      <c r="HB97">
        <v>0</v>
      </c>
      <c r="HC97">
        <f t="shared" si="100"/>
        <v>0</v>
      </c>
      <c r="HE97" t="s">
        <v>3</v>
      </c>
      <c r="HF97" t="s">
        <v>3</v>
      </c>
      <c r="HM97" t="s">
        <v>187</v>
      </c>
      <c r="HN97" t="s">
        <v>3</v>
      </c>
      <c r="HO97" t="s">
        <v>3</v>
      </c>
      <c r="HP97" t="s">
        <v>3</v>
      </c>
      <c r="HQ97" t="s">
        <v>3</v>
      </c>
      <c r="HS97">
        <v>0</v>
      </c>
      <c r="IK97">
        <v>0</v>
      </c>
    </row>
    <row r="99" spans="1:245" ht="13" x14ac:dyDescent="0.3">
      <c r="A99" s="2">
        <v>51</v>
      </c>
      <c r="B99" s="2">
        <f>B79</f>
        <v>1</v>
      </c>
      <c r="C99" s="2">
        <f>A79</f>
        <v>5</v>
      </c>
      <c r="D99" s="2">
        <f>ROW(A79)</f>
        <v>79</v>
      </c>
      <c r="E99" s="2"/>
      <c r="F99" s="2" t="str">
        <f>IF(F79&lt;&gt;"",F79,"")</f>
        <v>Новый подраздел</v>
      </c>
      <c r="G99" s="2" t="str">
        <f>IF(G79&lt;&gt;"",G79,"")</f>
        <v>Подраздел: ЛЕТНЯЯ УБОРКА</v>
      </c>
      <c r="H99" s="2">
        <v>0</v>
      </c>
      <c r="I99" s="2"/>
      <c r="J99" s="2"/>
      <c r="K99" s="2"/>
      <c r="L99" s="2"/>
      <c r="M99" s="2"/>
      <c r="N99" s="2"/>
      <c r="O99" s="2">
        <f t="shared" ref="O99:T99" si="105">ROUND(AB99,2)</f>
        <v>7932247.7199999997</v>
      </c>
      <c r="P99" s="2">
        <f t="shared" si="105"/>
        <v>45897.31</v>
      </c>
      <c r="Q99" s="2">
        <f t="shared" si="105"/>
        <v>5806336.6900000004</v>
      </c>
      <c r="R99" s="2">
        <f t="shared" si="105"/>
        <v>2744326.72</v>
      </c>
      <c r="S99" s="2">
        <f t="shared" si="105"/>
        <v>2080013.72</v>
      </c>
      <c r="T99" s="2">
        <f t="shared" si="105"/>
        <v>0</v>
      </c>
      <c r="U99" s="2">
        <f>AH99</f>
        <v>4669.4014499999994</v>
      </c>
      <c r="V99" s="2">
        <f>AI99</f>
        <v>0</v>
      </c>
      <c r="W99" s="2">
        <f>ROUND(AJ99,2)</f>
        <v>0</v>
      </c>
      <c r="X99" s="2">
        <f>ROUND(AK99,2)</f>
        <v>1456009.62</v>
      </c>
      <c r="Y99" s="2">
        <f>ROUND(AL99,2)</f>
        <v>208001.38</v>
      </c>
      <c r="Z99" s="2"/>
      <c r="AA99" s="2"/>
      <c r="AB99" s="2">
        <f>ROUND(SUMIF(AA83:AA97,"=80890340",O83:O97),2)</f>
        <v>7932247.7199999997</v>
      </c>
      <c r="AC99" s="2">
        <f>ROUND(SUMIF(AA83:AA97,"=80890340",P83:P97),2)</f>
        <v>45897.31</v>
      </c>
      <c r="AD99" s="2">
        <f>ROUND(SUMIF(AA83:AA97,"=80890340",Q83:Q97),2)</f>
        <v>5806336.6900000004</v>
      </c>
      <c r="AE99" s="2">
        <f>ROUND(SUMIF(AA83:AA97,"=80890340",R83:R97),2)</f>
        <v>2744326.72</v>
      </c>
      <c r="AF99" s="2">
        <f>ROUND(SUMIF(AA83:AA97,"=80890340",S83:S97),2)</f>
        <v>2080013.72</v>
      </c>
      <c r="AG99" s="2">
        <f>ROUND(SUMIF(AA83:AA97,"=80890340",T83:T97),2)</f>
        <v>0</v>
      </c>
      <c r="AH99" s="2">
        <f>SUMIF(AA83:AA97,"=80890340",U83:U97)</f>
        <v>4669.4014499999994</v>
      </c>
      <c r="AI99" s="2">
        <f>SUMIF(AA83:AA97,"=80890340",V83:V97)</f>
        <v>0</v>
      </c>
      <c r="AJ99" s="2">
        <f>ROUND(SUMIF(AA83:AA97,"=80890340",W83:W97),2)</f>
        <v>0</v>
      </c>
      <c r="AK99" s="2">
        <f>ROUND(SUMIF(AA83:AA97,"=80890340",X83:X97),2)</f>
        <v>1456009.62</v>
      </c>
      <c r="AL99" s="2">
        <f>ROUND(SUMIF(AA83:AA97,"=80890340",Y83:Y97),2)</f>
        <v>208001.38</v>
      </c>
      <c r="AM99" s="2"/>
      <c r="AN99" s="2"/>
      <c r="AO99" s="2">
        <f t="shared" ref="AO99:BD99" si="106">ROUND(BX99,2)</f>
        <v>0</v>
      </c>
      <c r="AP99" s="2">
        <f t="shared" si="106"/>
        <v>0</v>
      </c>
      <c r="AQ99" s="2">
        <f t="shared" si="106"/>
        <v>0</v>
      </c>
      <c r="AR99" s="2">
        <f t="shared" si="106"/>
        <v>12560131.58</v>
      </c>
      <c r="AS99" s="2">
        <f t="shared" si="106"/>
        <v>0</v>
      </c>
      <c r="AT99" s="2">
        <f t="shared" si="106"/>
        <v>0</v>
      </c>
      <c r="AU99" s="2">
        <f t="shared" si="106"/>
        <v>12560131.58</v>
      </c>
      <c r="AV99" s="2">
        <f t="shared" si="106"/>
        <v>45897.31</v>
      </c>
      <c r="AW99" s="2">
        <f t="shared" si="106"/>
        <v>45897.31</v>
      </c>
      <c r="AX99" s="2">
        <f t="shared" si="106"/>
        <v>0</v>
      </c>
      <c r="AY99" s="2">
        <f t="shared" si="106"/>
        <v>45897.31</v>
      </c>
      <c r="AZ99" s="2">
        <f t="shared" si="106"/>
        <v>0</v>
      </c>
      <c r="BA99" s="2">
        <f t="shared" si="106"/>
        <v>0</v>
      </c>
      <c r="BB99" s="2">
        <f t="shared" si="106"/>
        <v>0</v>
      </c>
      <c r="BC99" s="2">
        <f t="shared" si="106"/>
        <v>0</v>
      </c>
      <c r="BD99" s="2">
        <f t="shared" si="106"/>
        <v>0</v>
      </c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>
        <f>ROUND(SUMIF(AA83:AA97,"=80890340",FQ83:FQ97),2)</f>
        <v>0</v>
      </c>
      <c r="BY99" s="2">
        <f>ROUND(SUMIF(AA83:AA97,"=80890340",FR83:FR97),2)</f>
        <v>0</v>
      </c>
      <c r="BZ99" s="2">
        <f>ROUND(SUMIF(AA83:AA97,"=80890340",GL83:GL97),2)</f>
        <v>0</v>
      </c>
      <c r="CA99" s="2">
        <f>ROUND(SUMIF(AA83:AA97,"=80890340",GM83:GM97),2)</f>
        <v>12560131.58</v>
      </c>
      <c r="CB99" s="2">
        <f>ROUND(SUMIF(AA83:AA97,"=80890340",GN83:GN97),2)</f>
        <v>0</v>
      </c>
      <c r="CC99" s="2">
        <f>ROUND(SUMIF(AA83:AA97,"=80890340",GO83:GO97),2)</f>
        <v>0</v>
      </c>
      <c r="CD99" s="2">
        <f>ROUND(SUMIF(AA83:AA97,"=80890340",GP83:GP97),2)</f>
        <v>12560131.58</v>
      </c>
      <c r="CE99" s="2">
        <f>AC99-BX99</f>
        <v>45897.31</v>
      </c>
      <c r="CF99" s="2">
        <f>AC99-BY99</f>
        <v>45897.31</v>
      </c>
      <c r="CG99" s="2">
        <f>BX99-BZ99</f>
        <v>0</v>
      </c>
      <c r="CH99" s="2">
        <f>AC99-BX99-BY99+BZ99</f>
        <v>45897.31</v>
      </c>
      <c r="CI99" s="2">
        <f>BY99-BZ99</f>
        <v>0</v>
      </c>
      <c r="CJ99" s="2">
        <f>ROUND(SUMIF(AA83:AA97,"=80890340",GX83:GX97),2)</f>
        <v>0</v>
      </c>
      <c r="CK99" s="2">
        <f>ROUND(SUMIF(AA83:AA97,"=80890340",GY83:GY97),2)</f>
        <v>0</v>
      </c>
      <c r="CL99" s="2">
        <f>ROUND(SUMIF(AA83:AA97,"=80890340",GZ83:GZ97),2)</f>
        <v>0</v>
      </c>
      <c r="CM99" s="2">
        <f>ROUND(SUMIF(AA83:AA97,"=80890340",HD83:HD97),2)</f>
        <v>0</v>
      </c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>
        <v>0</v>
      </c>
    </row>
    <row r="101" spans="1:245" ht="13" x14ac:dyDescent="0.3">
      <c r="A101" s="4">
        <v>50</v>
      </c>
      <c r="B101" s="4">
        <v>0</v>
      </c>
      <c r="C101" s="4">
        <v>0</v>
      </c>
      <c r="D101" s="4">
        <v>1</v>
      </c>
      <c r="E101" s="4">
        <v>201</v>
      </c>
      <c r="F101" s="4">
        <f>ROUND(Source!O99,O101)</f>
        <v>7932247.7199999997</v>
      </c>
      <c r="G101" s="4" t="s">
        <v>94</v>
      </c>
      <c r="H101" s="4" t="s">
        <v>95</v>
      </c>
      <c r="I101" s="4"/>
      <c r="J101" s="4"/>
      <c r="K101" s="4">
        <v>201</v>
      </c>
      <c r="L101" s="4">
        <v>1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7932247.7199999997</v>
      </c>
      <c r="X101" s="4">
        <v>1</v>
      </c>
      <c r="Y101" s="4">
        <v>7932247.7199999997</v>
      </c>
      <c r="Z101" s="4"/>
      <c r="AA101" s="4"/>
      <c r="AB101" s="4"/>
    </row>
    <row r="102" spans="1:245" ht="13" x14ac:dyDescent="0.3">
      <c r="A102" s="4">
        <v>50</v>
      </c>
      <c r="B102" s="4">
        <v>0</v>
      </c>
      <c r="C102" s="4">
        <v>0</v>
      </c>
      <c r="D102" s="4">
        <v>1</v>
      </c>
      <c r="E102" s="4">
        <v>202</v>
      </c>
      <c r="F102" s="4">
        <f>ROUND(Source!P99,O102)</f>
        <v>45897.31</v>
      </c>
      <c r="G102" s="4" t="s">
        <v>96</v>
      </c>
      <c r="H102" s="4" t="s">
        <v>97</v>
      </c>
      <c r="I102" s="4"/>
      <c r="J102" s="4"/>
      <c r="K102" s="4">
        <v>202</v>
      </c>
      <c r="L102" s="4">
        <v>2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45897.31</v>
      </c>
      <c r="X102" s="4">
        <v>1</v>
      </c>
      <c r="Y102" s="4">
        <v>45897.31</v>
      </c>
      <c r="Z102" s="4"/>
      <c r="AA102" s="4"/>
      <c r="AB102" s="4"/>
    </row>
    <row r="103" spans="1:245" ht="13" x14ac:dyDescent="0.3">
      <c r="A103" s="4">
        <v>50</v>
      </c>
      <c r="B103" s="4">
        <v>0</v>
      </c>
      <c r="C103" s="4">
        <v>0</v>
      </c>
      <c r="D103" s="4">
        <v>1</v>
      </c>
      <c r="E103" s="4">
        <v>222</v>
      </c>
      <c r="F103" s="4">
        <f>ROUND(Source!AO99,O103)</f>
        <v>0</v>
      </c>
      <c r="G103" s="4" t="s">
        <v>98</v>
      </c>
      <c r="H103" s="4" t="s">
        <v>99</v>
      </c>
      <c r="I103" s="4"/>
      <c r="J103" s="4"/>
      <c r="K103" s="4">
        <v>222</v>
      </c>
      <c r="L103" s="4">
        <v>3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45" ht="13" x14ac:dyDescent="0.3">
      <c r="A104" s="4">
        <v>50</v>
      </c>
      <c r="B104" s="4">
        <v>0</v>
      </c>
      <c r="C104" s="4">
        <v>0</v>
      </c>
      <c r="D104" s="4">
        <v>1</v>
      </c>
      <c r="E104" s="4">
        <v>225</v>
      </c>
      <c r="F104" s="4">
        <f>ROUND(Source!AV99,O104)</f>
        <v>45897.31</v>
      </c>
      <c r="G104" s="4" t="s">
        <v>100</v>
      </c>
      <c r="H104" s="4" t="s">
        <v>101</v>
      </c>
      <c r="I104" s="4"/>
      <c r="J104" s="4"/>
      <c r="K104" s="4">
        <v>225</v>
      </c>
      <c r="L104" s="4">
        <v>4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45897.31</v>
      </c>
      <c r="X104" s="4">
        <v>1</v>
      </c>
      <c r="Y104" s="4">
        <v>45897.31</v>
      </c>
      <c r="Z104" s="4"/>
      <c r="AA104" s="4"/>
      <c r="AB104" s="4"/>
    </row>
    <row r="105" spans="1:245" ht="13" x14ac:dyDescent="0.3">
      <c r="A105" s="4">
        <v>50</v>
      </c>
      <c r="B105" s="4">
        <v>0</v>
      </c>
      <c r="C105" s="4">
        <v>0</v>
      </c>
      <c r="D105" s="4">
        <v>1</v>
      </c>
      <c r="E105" s="4">
        <v>226</v>
      </c>
      <c r="F105" s="4">
        <f>ROUND(Source!AW99,O105)</f>
        <v>45897.31</v>
      </c>
      <c r="G105" s="4" t="s">
        <v>102</v>
      </c>
      <c r="H105" s="4" t="s">
        <v>103</v>
      </c>
      <c r="I105" s="4"/>
      <c r="J105" s="4"/>
      <c r="K105" s="4">
        <v>226</v>
      </c>
      <c r="L105" s="4">
        <v>5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45897.31</v>
      </c>
      <c r="X105" s="4">
        <v>1</v>
      </c>
      <c r="Y105" s="4">
        <v>45897.31</v>
      </c>
      <c r="Z105" s="4"/>
      <c r="AA105" s="4"/>
      <c r="AB105" s="4"/>
    </row>
    <row r="106" spans="1:245" ht="13" x14ac:dyDescent="0.3">
      <c r="A106" s="4">
        <v>50</v>
      </c>
      <c r="B106" s="4">
        <v>0</v>
      </c>
      <c r="C106" s="4">
        <v>0</v>
      </c>
      <c r="D106" s="4">
        <v>1</v>
      </c>
      <c r="E106" s="4">
        <v>227</v>
      </c>
      <c r="F106" s="4">
        <f>ROUND(Source!AX99,O106)</f>
        <v>0</v>
      </c>
      <c r="G106" s="4" t="s">
        <v>104</v>
      </c>
      <c r="H106" s="4" t="s">
        <v>105</v>
      </c>
      <c r="I106" s="4"/>
      <c r="J106" s="4"/>
      <c r="K106" s="4">
        <v>227</v>
      </c>
      <c r="L106" s="4">
        <v>6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45" ht="13" x14ac:dyDescent="0.3">
      <c r="A107" s="4">
        <v>50</v>
      </c>
      <c r="B107" s="4">
        <v>0</v>
      </c>
      <c r="C107" s="4">
        <v>0</v>
      </c>
      <c r="D107" s="4">
        <v>1</v>
      </c>
      <c r="E107" s="4">
        <v>228</v>
      </c>
      <c r="F107" s="4">
        <f>ROUND(Source!AY99,O107)</f>
        <v>45897.31</v>
      </c>
      <c r="G107" s="4" t="s">
        <v>106</v>
      </c>
      <c r="H107" s="4" t="s">
        <v>107</v>
      </c>
      <c r="I107" s="4"/>
      <c r="J107" s="4"/>
      <c r="K107" s="4">
        <v>228</v>
      </c>
      <c r="L107" s="4">
        <v>7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45897.31</v>
      </c>
      <c r="X107" s="4">
        <v>1</v>
      </c>
      <c r="Y107" s="4">
        <v>45897.31</v>
      </c>
      <c r="Z107" s="4"/>
      <c r="AA107" s="4"/>
      <c r="AB107" s="4"/>
    </row>
    <row r="108" spans="1:245" ht="13" x14ac:dyDescent="0.3">
      <c r="A108" s="4">
        <v>50</v>
      </c>
      <c r="B108" s="4">
        <v>0</v>
      </c>
      <c r="C108" s="4">
        <v>0</v>
      </c>
      <c r="D108" s="4">
        <v>1</v>
      </c>
      <c r="E108" s="4">
        <v>216</v>
      </c>
      <c r="F108" s="4">
        <f>ROUND(Source!AP99,O108)</f>
        <v>0</v>
      </c>
      <c r="G108" s="4" t="s">
        <v>108</v>
      </c>
      <c r="H108" s="4" t="s">
        <v>109</v>
      </c>
      <c r="I108" s="4"/>
      <c r="J108" s="4"/>
      <c r="K108" s="4">
        <v>216</v>
      </c>
      <c r="L108" s="4">
        <v>8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45" ht="13" x14ac:dyDescent="0.3">
      <c r="A109" s="4">
        <v>50</v>
      </c>
      <c r="B109" s="4">
        <v>0</v>
      </c>
      <c r="C109" s="4">
        <v>0</v>
      </c>
      <c r="D109" s="4">
        <v>1</v>
      </c>
      <c r="E109" s="4">
        <v>223</v>
      </c>
      <c r="F109" s="4">
        <f>ROUND(Source!AQ99,O109)</f>
        <v>0</v>
      </c>
      <c r="G109" s="4" t="s">
        <v>110</v>
      </c>
      <c r="H109" s="4" t="s">
        <v>111</v>
      </c>
      <c r="I109" s="4"/>
      <c r="J109" s="4"/>
      <c r="K109" s="4">
        <v>223</v>
      </c>
      <c r="L109" s="4">
        <v>9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45" ht="13" x14ac:dyDescent="0.3">
      <c r="A110" s="4">
        <v>50</v>
      </c>
      <c r="B110" s="4">
        <v>0</v>
      </c>
      <c r="C110" s="4">
        <v>0</v>
      </c>
      <c r="D110" s="4">
        <v>1</v>
      </c>
      <c r="E110" s="4">
        <v>229</v>
      </c>
      <c r="F110" s="4">
        <f>ROUND(Source!AZ99,O110)</f>
        <v>0</v>
      </c>
      <c r="G110" s="4" t="s">
        <v>112</v>
      </c>
      <c r="H110" s="4" t="s">
        <v>113</v>
      </c>
      <c r="I110" s="4"/>
      <c r="J110" s="4"/>
      <c r="K110" s="4">
        <v>229</v>
      </c>
      <c r="L110" s="4">
        <v>10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45" ht="13" x14ac:dyDescent="0.3">
      <c r="A111" s="4">
        <v>50</v>
      </c>
      <c r="B111" s="4">
        <v>0</v>
      </c>
      <c r="C111" s="4">
        <v>0</v>
      </c>
      <c r="D111" s="4">
        <v>1</v>
      </c>
      <c r="E111" s="4">
        <v>203</v>
      </c>
      <c r="F111" s="4">
        <f>ROUND(Source!Q99,O111)</f>
        <v>5806336.6900000004</v>
      </c>
      <c r="G111" s="4" t="s">
        <v>114</v>
      </c>
      <c r="H111" s="4" t="s">
        <v>115</v>
      </c>
      <c r="I111" s="4"/>
      <c r="J111" s="4"/>
      <c r="K111" s="4">
        <v>203</v>
      </c>
      <c r="L111" s="4">
        <v>11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5806336.6900000004</v>
      </c>
      <c r="X111" s="4">
        <v>1</v>
      </c>
      <c r="Y111" s="4">
        <v>5806336.6900000004</v>
      </c>
      <c r="Z111" s="4"/>
      <c r="AA111" s="4"/>
      <c r="AB111" s="4"/>
    </row>
    <row r="112" spans="1:245" ht="13" x14ac:dyDescent="0.3">
      <c r="A112" s="4">
        <v>50</v>
      </c>
      <c r="B112" s="4">
        <v>0</v>
      </c>
      <c r="C112" s="4">
        <v>0</v>
      </c>
      <c r="D112" s="4">
        <v>1</v>
      </c>
      <c r="E112" s="4">
        <v>231</v>
      </c>
      <c r="F112" s="4">
        <f>ROUND(Source!BB99,O112)</f>
        <v>0</v>
      </c>
      <c r="G112" s="4" t="s">
        <v>116</v>
      </c>
      <c r="H112" s="4" t="s">
        <v>117</v>
      </c>
      <c r="I112" s="4"/>
      <c r="J112" s="4"/>
      <c r="K112" s="4">
        <v>231</v>
      </c>
      <c r="L112" s="4">
        <v>12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 ht="13" x14ac:dyDescent="0.3">
      <c r="A113" s="4">
        <v>50</v>
      </c>
      <c r="B113" s="4">
        <v>0</v>
      </c>
      <c r="C113" s="4">
        <v>0</v>
      </c>
      <c r="D113" s="4">
        <v>1</v>
      </c>
      <c r="E113" s="4">
        <v>204</v>
      </c>
      <c r="F113" s="4">
        <f>ROUND(Source!R99,O113)</f>
        <v>2744326.72</v>
      </c>
      <c r="G113" s="4" t="s">
        <v>118</v>
      </c>
      <c r="H113" s="4" t="s">
        <v>119</v>
      </c>
      <c r="I113" s="4"/>
      <c r="J113" s="4"/>
      <c r="K113" s="4">
        <v>204</v>
      </c>
      <c r="L113" s="4">
        <v>13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2744326.72</v>
      </c>
      <c r="X113" s="4">
        <v>1</v>
      </c>
      <c r="Y113" s="4">
        <v>2744326.72</v>
      </c>
      <c r="Z113" s="4"/>
      <c r="AA113" s="4"/>
      <c r="AB113" s="4"/>
    </row>
    <row r="114" spans="1:28" ht="13" x14ac:dyDescent="0.3">
      <c r="A114" s="4">
        <v>50</v>
      </c>
      <c r="B114" s="4">
        <v>0</v>
      </c>
      <c r="C114" s="4">
        <v>0</v>
      </c>
      <c r="D114" s="4">
        <v>1</v>
      </c>
      <c r="E114" s="4">
        <v>205</v>
      </c>
      <c r="F114" s="4">
        <f>ROUND(Source!S99,O114)</f>
        <v>2080013.72</v>
      </c>
      <c r="G114" s="4" t="s">
        <v>120</v>
      </c>
      <c r="H114" s="4" t="s">
        <v>121</v>
      </c>
      <c r="I114" s="4"/>
      <c r="J114" s="4"/>
      <c r="K114" s="4">
        <v>205</v>
      </c>
      <c r="L114" s="4">
        <v>14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2080013.72</v>
      </c>
      <c r="X114" s="4">
        <v>1</v>
      </c>
      <c r="Y114" s="4">
        <v>2080013.72</v>
      </c>
      <c r="Z114" s="4"/>
      <c r="AA114" s="4"/>
      <c r="AB114" s="4"/>
    </row>
    <row r="115" spans="1:28" ht="13" x14ac:dyDescent="0.3">
      <c r="A115" s="4">
        <v>50</v>
      </c>
      <c r="B115" s="4">
        <v>0</v>
      </c>
      <c r="C115" s="4">
        <v>0</v>
      </c>
      <c r="D115" s="4">
        <v>1</v>
      </c>
      <c r="E115" s="4">
        <v>232</v>
      </c>
      <c r="F115" s="4">
        <f>ROUND(Source!BC99,O115)</f>
        <v>0</v>
      </c>
      <c r="G115" s="4" t="s">
        <v>122</v>
      </c>
      <c r="H115" s="4" t="s">
        <v>123</v>
      </c>
      <c r="I115" s="4"/>
      <c r="J115" s="4"/>
      <c r="K115" s="4">
        <v>232</v>
      </c>
      <c r="L115" s="4">
        <v>15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ht="13" x14ac:dyDescent="0.3">
      <c r="A116" s="4">
        <v>50</v>
      </c>
      <c r="B116" s="4">
        <v>0</v>
      </c>
      <c r="C116" s="4">
        <v>0</v>
      </c>
      <c r="D116" s="4">
        <v>1</v>
      </c>
      <c r="E116" s="4">
        <v>214</v>
      </c>
      <c r="F116" s="4">
        <f>ROUND(Source!AS99,O116)</f>
        <v>0</v>
      </c>
      <c r="G116" s="4" t="s">
        <v>124</v>
      </c>
      <c r="H116" s="4" t="s">
        <v>125</v>
      </c>
      <c r="I116" s="4"/>
      <c r="J116" s="4"/>
      <c r="K116" s="4">
        <v>214</v>
      </c>
      <c r="L116" s="4">
        <v>16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ht="13" x14ac:dyDescent="0.3">
      <c r="A117" s="4">
        <v>50</v>
      </c>
      <c r="B117" s="4">
        <v>0</v>
      </c>
      <c r="C117" s="4">
        <v>0</v>
      </c>
      <c r="D117" s="4">
        <v>1</v>
      </c>
      <c r="E117" s="4">
        <v>215</v>
      </c>
      <c r="F117" s="4">
        <f>ROUND(Source!AT99,O117)</f>
        <v>0</v>
      </c>
      <c r="G117" s="4" t="s">
        <v>126</v>
      </c>
      <c r="H117" s="4" t="s">
        <v>127</v>
      </c>
      <c r="I117" s="4"/>
      <c r="J117" s="4"/>
      <c r="K117" s="4">
        <v>215</v>
      </c>
      <c r="L117" s="4">
        <v>17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ht="13" x14ac:dyDescent="0.3">
      <c r="A118" s="4">
        <v>50</v>
      </c>
      <c r="B118" s="4">
        <v>0</v>
      </c>
      <c r="C118" s="4">
        <v>0</v>
      </c>
      <c r="D118" s="4">
        <v>1</v>
      </c>
      <c r="E118" s="4">
        <v>217</v>
      </c>
      <c r="F118" s="4">
        <f>ROUND(Source!AU99,O118)</f>
        <v>12560131.58</v>
      </c>
      <c r="G118" s="4" t="s">
        <v>128</v>
      </c>
      <c r="H118" s="4" t="s">
        <v>129</v>
      </c>
      <c r="I118" s="4"/>
      <c r="J118" s="4"/>
      <c r="K118" s="4">
        <v>217</v>
      </c>
      <c r="L118" s="4">
        <v>18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12560131.58</v>
      </c>
      <c r="X118" s="4">
        <v>1</v>
      </c>
      <c r="Y118" s="4">
        <v>12560131.58</v>
      </c>
      <c r="Z118" s="4"/>
      <c r="AA118" s="4"/>
      <c r="AB118" s="4"/>
    </row>
    <row r="119" spans="1:28" ht="13" x14ac:dyDescent="0.3">
      <c r="A119" s="4">
        <v>50</v>
      </c>
      <c r="B119" s="4">
        <v>0</v>
      </c>
      <c r="C119" s="4">
        <v>0</v>
      </c>
      <c r="D119" s="4">
        <v>1</v>
      </c>
      <c r="E119" s="4">
        <v>230</v>
      </c>
      <c r="F119" s="4">
        <f>ROUND(Source!BA99,O119)</f>
        <v>0</v>
      </c>
      <c r="G119" s="4" t="s">
        <v>130</v>
      </c>
      <c r="H119" s="4" t="s">
        <v>131</v>
      </c>
      <c r="I119" s="4"/>
      <c r="J119" s="4"/>
      <c r="K119" s="4">
        <v>230</v>
      </c>
      <c r="L119" s="4">
        <v>19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 ht="13" x14ac:dyDescent="0.3">
      <c r="A120" s="4">
        <v>50</v>
      </c>
      <c r="B120" s="4">
        <v>0</v>
      </c>
      <c r="C120" s="4">
        <v>0</v>
      </c>
      <c r="D120" s="4">
        <v>1</v>
      </c>
      <c r="E120" s="4">
        <v>206</v>
      </c>
      <c r="F120" s="4">
        <f>ROUND(Source!T99,O120)</f>
        <v>0</v>
      </c>
      <c r="G120" s="4" t="s">
        <v>132</v>
      </c>
      <c r="H120" s="4" t="s">
        <v>133</v>
      </c>
      <c r="I120" s="4"/>
      <c r="J120" s="4"/>
      <c r="K120" s="4">
        <v>206</v>
      </c>
      <c r="L120" s="4">
        <v>20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 ht="13" x14ac:dyDescent="0.3">
      <c r="A121" s="4">
        <v>50</v>
      </c>
      <c r="B121" s="4">
        <v>0</v>
      </c>
      <c r="C121" s="4">
        <v>0</v>
      </c>
      <c r="D121" s="4">
        <v>1</v>
      </c>
      <c r="E121" s="4">
        <v>207</v>
      </c>
      <c r="F121" s="4">
        <f>Source!U99</f>
        <v>4669.4014499999994</v>
      </c>
      <c r="G121" s="4" t="s">
        <v>134</v>
      </c>
      <c r="H121" s="4" t="s">
        <v>135</v>
      </c>
      <c r="I121" s="4"/>
      <c r="J121" s="4"/>
      <c r="K121" s="4">
        <v>207</v>
      </c>
      <c r="L121" s="4">
        <v>21</v>
      </c>
      <c r="M121" s="4">
        <v>3</v>
      </c>
      <c r="N121" s="4" t="s">
        <v>3</v>
      </c>
      <c r="O121" s="4">
        <v>-1</v>
      </c>
      <c r="P121" s="4"/>
      <c r="Q121" s="4"/>
      <c r="R121" s="4"/>
      <c r="S121" s="4"/>
      <c r="T121" s="4"/>
      <c r="U121" s="4"/>
      <c r="V121" s="4"/>
      <c r="W121" s="4">
        <v>4669.4014499999994</v>
      </c>
      <c r="X121" s="4">
        <v>1</v>
      </c>
      <c r="Y121" s="4">
        <v>4669.4014499999994</v>
      </c>
      <c r="Z121" s="4"/>
      <c r="AA121" s="4"/>
      <c r="AB121" s="4"/>
    </row>
    <row r="122" spans="1:28" ht="13" x14ac:dyDescent="0.3">
      <c r="A122" s="4">
        <v>50</v>
      </c>
      <c r="B122" s="4">
        <v>0</v>
      </c>
      <c r="C122" s="4">
        <v>0</v>
      </c>
      <c r="D122" s="4">
        <v>1</v>
      </c>
      <c r="E122" s="4">
        <v>208</v>
      </c>
      <c r="F122" s="4">
        <f>Source!V99</f>
        <v>0</v>
      </c>
      <c r="G122" s="4" t="s">
        <v>136</v>
      </c>
      <c r="H122" s="4" t="s">
        <v>137</v>
      </c>
      <c r="I122" s="4"/>
      <c r="J122" s="4"/>
      <c r="K122" s="4">
        <v>208</v>
      </c>
      <c r="L122" s="4">
        <v>22</v>
      </c>
      <c r="M122" s="4">
        <v>3</v>
      </c>
      <c r="N122" s="4" t="s">
        <v>3</v>
      </c>
      <c r="O122" s="4">
        <v>-1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ht="13" x14ac:dyDescent="0.3">
      <c r="A123" s="4">
        <v>50</v>
      </c>
      <c r="B123" s="4">
        <v>0</v>
      </c>
      <c r="C123" s="4">
        <v>0</v>
      </c>
      <c r="D123" s="4">
        <v>1</v>
      </c>
      <c r="E123" s="4">
        <v>209</v>
      </c>
      <c r="F123" s="4">
        <f>ROUND(Source!W99,O123)</f>
        <v>0</v>
      </c>
      <c r="G123" s="4" t="s">
        <v>138</v>
      </c>
      <c r="H123" s="4" t="s">
        <v>139</v>
      </c>
      <c r="I123" s="4"/>
      <c r="J123" s="4"/>
      <c r="K123" s="4">
        <v>209</v>
      </c>
      <c r="L123" s="4">
        <v>23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8" ht="13" x14ac:dyDescent="0.3">
      <c r="A124" s="4">
        <v>50</v>
      </c>
      <c r="B124" s="4">
        <v>0</v>
      </c>
      <c r="C124" s="4">
        <v>0</v>
      </c>
      <c r="D124" s="4">
        <v>1</v>
      </c>
      <c r="E124" s="4">
        <v>233</v>
      </c>
      <c r="F124" s="4">
        <f>ROUND(Source!BD99,O124)</f>
        <v>0</v>
      </c>
      <c r="G124" s="4" t="s">
        <v>140</v>
      </c>
      <c r="H124" s="4" t="s">
        <v>141</v>
      </c>
      <c r="I124" s="4"/>
      <c r="J124" s="4"/>
      <c r="K124" s="4">
        <v>233</v>
      </c>
      <c r="L124" s="4">
        <v>24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8" ht="13" x14ac:dyDescent="0.3">
      <c r="A125" s="4">
        <v>50</v>
      </c>
      <c r="B125" s="4">
        <v>0</v>
      </c>
      <c r="C125" s="4">
        <v>0</v>
      </c>
      <c r="D125" s="4">
        <v>1</v>
      </c>
      <c r="E125" s="4">
        <v>210</v>
      </c>
      <c r="F125" s="4">
        <f>ROUND(Source!X99,O125)</f>
        <v>1456009.62</v>
      </c>
      <c r="G125" s="4" t="s">
        <v>142</v>
      </c>
      <c r="H125" s="4" t="s">
        <v>143</v>
      </c>
      <c r="I125" s="4"/>
      <c r="J125" s="4"/>
      <c r="K125" s="4">
        <v>210</v>
      </c>
      <c r="L125" s="4">
        <v>25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1456009.62</v>
      </c>
      <c r="X125" s="4">
        <v>1</v>
      </c>
      <c r="Y125" s="4">
        <v>1456009.62</v>
      </c>
      <c r="Z125" s="4"/>
      <c r="AA125" s="4"/>
      <c r="AB125" s="4"/>
    </row>
    <row r="126" spans="1:28" ht="13" x14ac:dyDescent="0.3">
      <c r="A126" s="4">
        <v>50</v>
      </c>
      <c r="B126" s="4">
        <v>0</v>
      </c>
      <c r="C126" s="4">
        <v>0</v>
      </c>
      <c r="D126" s="4">
        <v>1</v>
      </c>
      <c r="E126" s="4">
        <v>211</v>
      </c>
      <c r="F126" s="4">
        <f>ROUND(Source!Y99,O126)</f>
        <v>208001.38</v>
      </c>
      <c r="G126" s="4" t="s">
        <v>144</v>
      </c>
      <c r="H126" s="4" t="s">
        <v>145</v>
      </c>
      <c r="I126" s="4"/>
      <c r="J126" s="4"/>
      <c r="K126" s="4">
        <v>211</v>
      </c>
      <c r="L126" s="4">
        <v>26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208001.38</v>
      </c>
      <c r="X126" s="4">
        <v>1</v>
      </c>
      <c r="Y126" s="4">
        <v>208001.38</v>
      </c>
      <c r="Z126" s="4"/>
      <c r="AA126" s="4"/>
      <c r="AB126" s="4"/>
    </row>
    <row r="127" spans="1:28" ht="13" x14ac:dyDescent="0.3">
      <c r="A127" s="4">
        <v>50</v>
      </c>
      <c r="B127" s="4">
        <v>0</v>
      </c>
      <c r="C127" s="4">
        <v>0</v>
      </c>
      <c r="D127" s="4">
        <v>1</v>
      </c>
      <c r="E127" s="4">
        <v>224</v>
      </c>
      <c r="F127" s="4">
        <f>ROUND(Source!AR99,O127)</f>
        <v>12560131.58</v>
      </c>
      <c r="G127" s="4" t="s">
        <v>146</v>
      </c>
      <c r="H127" s="4" t="s">
        <v>147</v>
      </c>
      <c r="I127" s="4"/>
      <c r="J127" s="4"/>
      <c r="K127" s="4">
        <v>224</v>
      </c>
      <c r="L127" s="4">
        <v>27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12560131.58</v>
      </c>
      <c r="X127" s="4">
        <v>1</v>
      </c>
      <c r="Y127" s="4">
        <v>12560131.58</v>
      </c>
      <c r="Z127" s="4"/>
      <c r="AA127" s="4"/>
      <c r="AB127" s="4"/>
    </row>
    <row r="129" spans="1:245" ht="13" x14ac:dyDescent="0.3">
      <c r="A129" s="1">
        <v>5</v>
      </c>
      <c r="B129" s="1">
        <v>1</v>
      </c>
      <c r="C129" s="1"/>
      <c r="D129" s="1">
        <f>ROW(A154)</f>
        <v>154</v>
      </c>
      <c r="E129" s="1"/>
      <c r="F129" s="1" t="s">
        <v>16</v>
      </c>
      <c r="G129" s="1" t="s">
        <v>380</v>
      </c>
      <c r="H129" s="1" t="s">
        <v>3</v>
      </c>
      <c r="I129" s="1">
        <v>0</v>
      </c>
      <c r="J129" s="1"/>
      <c r="K129" s="1">
        <v>0</v>
      </c>
      <c r="L129" s="1"/>
      <c r="M129" s="1" t="s">
        <v>3</v>
      </c>
      <c r="N129" s="1"/>
      <c r="O129" s="1"/>
      <c r="P129" s="1"/>
      <c r="Q129" s="1"/>
      <c r="R129" s="1"/>
      <c r="S129" s="1">
        <v>0</v>
      </c>
      <c r="T129" s="1"/>
      <c r="U129" s="1" t="s">
        <v>3</v>
      </c>
      <c r="V129" s="1">
        <v>0</v>
      </c>
      <c r="W129" s="1"/>
      <c r="X129" s="1"/>
      <c r="Y129" s="1"/>
      <c r="Z129" s="1"/>
      <c r="AA129" s="1"/>
      <c r="AB129" s="1" t="s">
        <v>3</v>
      </c>
      <c r="AC129" s="1" t="s">
        <v>3</v>
      </c>
      <c r="AD129" s="1" t="s">
        <v>3</v>
      </c>
      <c r="AE129" s="1" t="s">
        <v>3</v>
      </c>
      <c r="AF129" s="1" t="s">
        <v>3</v>
      </c>
      <c r="AG129" s="1" t="s">
        <v>3</v>
      </c>
      <c r="AH129" s="1"/>
      <c r="AI129" s="1"/>
      <c r="AJ129" s="1"/>
      <c r="AK129" s="1"/>
      <c r="AL129" s="1"/>
      <c r="AM129" s="1"/>
      <c r="AN129" s="1"/>
      <c r="AO129" s="1"/>
      <c r="AP129" s="1" t="s">
        <v>3</v>
      </c>
      <c r="AQ129" s="1" t="s">
        <v>3</v>
      </c>
      <c r="AR129" s="1" t="s">
        <v>3</v>
      </c>
      <c r="AS129" s="1"/>
      <c r="AT129" s="1"/>
      <c r="AU129" s="1"/>
      <c r="AV129" s="1"/>
      <c r="AW129" s="1"/>
      <c r="AX129" s="1"/>
      <c r="AY129" s="1"/>
      <c r="AZ129" s="1" t="s">
        <v>3</v>
      </c>
      <c r="BA129" s="1"/>
      <c r="BB129" s="1" t="s">
        <v>3</v>
      </c>
      <c r="BC129" s="1" t="s">
        <v>3</v>
      </c>
      <c r="BD129" s="1" t="s">
        <v>3</v>
      </c>
      <c r="BE129" s="1" t="s">
        <v>3</v>
      </c>
      <c r="BF129" s="1" t="s">
        <v>3</v>
      </c>
      <c r="BG129" s="1" t="s">
        <v>3</v>
      </c>
      <c r="BH129" s="1" t="s">
        <v>3</v>
      </c>
      <c r="BI129" s="1" t="s">
        <v>3</v>
      </c>
      <c r="BJ129" s="1" t="s">
        <v>3</v>
      </c>
      <c r="BK129" s="1" t="s">
        <v>3</v>
      </c>
      <c r="BL129" s="1" t="s">
        <v>3</v>
      </c>
      <c r="BM129" s="1" t="s">
        <v>3</v>
      </c>
      <c r="BN129" s="1" t="s">
        <v>3</v>
      </c>
      <c r="BO129" s="1" t="s">
        <v>3</v>
      </c>
      <c r="BP129" s="1" t="s">
        <v>3</v>
      </c>
      <c r="BQ129" s="1"/>
      <c r="BR129" s="1"/>
      <c r="BS129" s="1"/>
      <c r="BT129" s="1"/>
      <c r="BU129" s="1"/>
      <c r="BV129" s="1"/>
      <c r="BW129" s="1"/>
      <c r="BX129" s="1">
        <v>0</v>
      </c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>
        <v>0</v>
      </c>
    </row>
    <row r="131" spans="1:245" ht="13" x14ac:dyDescent="0.3">
      <c r="A131" s="2">
        <v>52</v>
      </c>
      <c r="B131" s="2">
        <f t="shared" ref="B131:G131" si="107">B154</f>
        <v>1</v>
      </c>
      <c r="C131" s="2">
        <f t="shared" si="107"/>
        <v>5</v>
      </c>
      <c r="D131" s="2">
        <f t="shared" si="107"/>
        <v>129</v>
      </c>
      <c r="E131" s="2">
        <f t="shared" si="107"/>
        <v>0</v>
      </c>
      <c r="F131" s="2" t="str">
        <f t="shared" si="107"/>
        <v>Новый подраздел</v>
      </c>
      <c r="G131" s="2" t="str">
        <f t="shared" si="107"/>
        <v xml:space="preserve">Подраздел: УХОД ЗА ЗЕЛЕНЫМИ НАСАЖДЕНИЯМИ </v>
      </c>
      <c r="H131" s="2"/>
      <c r="I131" s="2"/>
      <c r="J131" s="2"/>
      <c r="K131" s="2"/>
      <c r="L131" s="2"/>
      <c r="M131" s="2"/>
      <c r="N131" s="2"/>
      <c r="O131" s="2">
        <f t="shared" ref="O131:AT131" si="108">O154</f>
        <v>6807533.5800000001</v>
      </c>
      <c r="P131" s="2">
        <f t="shared" si="108"/>
        <v>272199.84999999998</v>
      </c>
      <c r="Q131" s="2">
        <f t="shared" si="108"/>
        <v>876585.45</v>
      </c>
      <c r="R131" s="2">
        <f t="shared" si="108"/>
        <v>252672.23</v>
      </c>
      <c r="S131" s="2">
        <f t="shared" si="108"/>
        <v>5658748.2800000003</v>
      </c>
      <c r="T131" s="2">
        <f t="shared" si="108"/>
        <v>0</v>
      </c>
      <c r="U131" s="2">
        <f t="shared" si="108"/>
        <v>12442.574989999999</v>
      </c>
      <c r="V131" s="2">
        <f t="shared" si="108"/>
        <v>0</v>
      </c>
      <c r="W131" s="2">
        <f t="shared" si="108"/>
        <v>0</v>
      </c>
      <c r="X131" s="2">
        <f t="shared" si="108"/>
        <v>3961123.81</v>
      </c>
      <c r="Y131" s="2">
        <f t="shared" si="108"/>
        <v>565874.82999999996</v>
      </c>
      <c r="Z131" s="2">
        <f t="shared" si="108"/>
        <v>0</v>
      </c>
      <c r="AA131" s="2">
        <f t="shared" si="108"/>
        <v>0</v>
      </c>
      <c r="AB131" s="2">
        <f t="shared" si="108"/>
        <v>6807533.5800000001</v>
      </c>
      <c r="AC131" s="2">
        <f t="shared" si="108"/>
        <v>272199.84999999998</v>
      </c>
      <c r="AD131" s="2">
        <f t="shared" si="108"/>
        <v>876585.45</v>
      </c>
      <c r="AE131" s="2">
        <f t="shared" si="108"/>
        <v>252672.23</v>
      </c>
      <c r="AF131" s="2">
        <f t="shared" si="108"/>
        <v>5658748.2800000003</v>
      </c>
      <c r="AG131" s="2">
        <f t="shared" si="108"/>
        <v>0</v>
      </c>
      <c r="AH131" s="2">
        <f t="shared" si="108"/>
        <v>12442.574989999999</v>
      </c>
      <c r="AI131" s="2">
        <f t="shared" si="108"/>
        <v>0</v>
      </c>
      <c r="AJ131" s="2">
        <f t="shared" si="108"/>
        <v>0</v>
      </c>
      <c r="AK131" s="2">
        <f t="shared" si="108"/>
        <v>3961123.81</v>
      </c>
      <c r="AL131" s="2">
        <f t="shared" si="108"/>
        <v>565874.82999999996</v>
      </c>
      <c r="AM131" s="2">
        <f t="shared" si="108"/>
        <v>0</v>
      </c>
      <c r="AN131" s="2">
        <f t="shared" si="108"/>
        <v>0</v>
      </c>
      <c r="AO131" s="2">
        <f t="shared" si="108"/>
        <v>0</v>
      </c>
      <c r="AP131" s="2">
        <f t="shared" si="108"/>
        <v>0</v>
      </c>
      <c r="AQ131" s="2">
        <f t="shared" si="108"/>
        <v>0</v>
      </c>
      <c r="AR131" s="2">
        <f t="shared" si="108"/>
        <v>11607418.210000001</v>
      </c>
      <c r="AS131" s="2">
        <f t="shared" si="108"/>
        <v>0</v>
      </c>
      <c r="AT131" s="2">
        <f t="shared" si="108"/>
        <v>0</v>
      </c>
      <c r="AU131" s="2">
        <f t="shared" ref="AU131:BZ131" si="109">AU154</f>
        <v>11607418.210000001</v>
      </c>
      <c r="AV131" s="2">
        <f t="shared" si="109"/>
        <v>272199.84999999998</v>
      </c>
      <c r="AW131" s="2">
        <f t="shared" si="109"/>
        <v>272199.84999999998</v>
      </c>
      <c r="AX131" s="2">
        <f t="shared" si="109"/>
        <v>0</v>
      </c>
      <c r="AY131" s="2">
        <f t="shared" si="109"/>
        <v>272199.84999999998</v>
      </c>
      <c r="AZ131" s="2">
        <f t="shared" si="109"/>
        <v>0</v>
      </c>
      <c r="BA131" s="2">
        <f t="shared" si="109"/>
        <v>0</v>
      </c>
      <c r="BB131" s="2">
        <f t="shared" si="109"/>
        <v>0</v>
      </c>
      <c r="BC131" s="2">
        <f t="shared" si="109"/>
        <v>0</v>
      </c>
      <c r="BD131" s="2">
        <f t="shared" si="109"/>
        <v>0</v>
      </c>
      <c r="BE131" s="2">
        <f t="shared" si="109"/>
        <v>0</v>
      </c>
      <c r="BF131" s="2">
        <f t="shared" si="109"/>
        <v>0</v>
      </c>
      <c r="BG131" s="2">
        <f t="shared" si="109"/>
        <v>0</v>
      </c>
      <c r="BH131" s="2">
        <f t="shared" si="109"/>
        <v>0</v>
      </c>
      <c r="BI131" s="2">
        <f t="shared" si="109"/>
        <v>0</v>
      </c>
      <c r="BJ131" s="2">
        <f t="shared" si="109"/>
        <v>0</v>
      </c>
      <c r="BK131" s="2">
        <f t="shared" si="109"/>
        <v>0</v>
      </c>
      <c r="BL131" s="2">
        <f t="shared" si="109"/>
        <v>0</v>
      </c>
      <c r="BM131" s="2">
        <f t="shared" si="109"/>
        <v>0</v>
      </c>
      <c r="BN131" s="2">
        <f t="shared" si="109"/>
        <v>0</v>
      </c>
      <c r="BO131" s="2">
        <f t="shared" si="109"/>
        <v>0</v>
      </c>
      <c r="BP131" s="2">
        <f t="shared" si="109"/>
        <v>0</v>
      </c>
      <c r="BQ131" s="2">
        <f t="shared" si="109"/>
        <v>0</v>
      </c>
      <c r="BR131" s="2">
        <f t="shared" si="109"/>
        <v>0</v>
      </c>
      <c r="BS131" s="2">
        <f t="shared" si="109"/>
        <v>0</v>
      </c>
      <c r="BT131" s="2">
        <f t="shared" si="109"/>
        <v>0</v>
      </c>
      <c r="BU131" s="2">
        <f t="shared" si="109"/>
        <v>0</v>
      </c>
      <c r="BV131" s="2">
        <f t="shared" si="109"/>
        <v>0</v>
      </c>
      <c r="BW131" s="2">
        <f t="shared" si="109"/>
        <v>0</v>
      </c>
      <c r="BX131" s="2">
        <f t="shared" si="109"/>
        <v>0</v>
      </c>
      <c r="BY131" s="2">
        <f t="shared" si="109"/>
        <v>0</v>
      </c>
      <c r="BZ131" s="2">
        <f t="shared" si="109"/>
        <v>0</v>
      </c>
      <c r="CA131" s="2">
        <f t="shared" ref="CA131:DF131" si="110">CA154</f>
        <v>11607418.210000001</v>
      </c>
      <c r="CB131" s="2">
        <f t="shared" si="110"/>
        <v>0</v>
      </c>
      <c r="CC131" s="2">
        <f t="shared" si="110"/>
        <v>0</v>
      </c>
      <c r="CD131" s="2">
        <f t="shared" si="110"/>
        <v>11607418.210000001</v>
      </c>
      <c r="CE131" s="2">
        <f t="shared" si="110"/>
        <v>272199.84999999998</v>
      </c>
      <c r="CF131" s="2">
        <f t="shared" si="110"/>
        <v>272199.84999999998</v>
      </c>
      <c r="CG131" s="2">
        <f t="shared" si="110"/>
        <v>0</v>
      </c>
      <c r="CH131" s="2">
        <f t="shared" si="110"/>
        <v>272199.84999999998</v>
      </c>
      <c r="CI131" s="2">
        <f t="shared" si="110"/>
        <v>0</v>
      </c>
      <c r="CJ131" s="2">
        <f t="shared" si="110"/>
        <v>0</v>
      </c>
      <c r="CK131" s="2">
        <f t="shared" si="110"/>
        <v>0</v>
      </c>
      <c r="CL131" s="2">
        <f t="shared" si="110"/>
        <v>0</v>
      </c>
      <c r="CM131" s="2">
        <f t="shared" si="110"/>
        <v>0</v>
      </c>
      <c r="CN131" s="2">
        <f t="shared" si="110"/>
        <v>0</v>
      </c>
      <c r="CO131" s="2">
        <f t="shared" si="110"/>
        <v>0</v>
      </c>
      <c r="CP131" s="2">
        <f t="shared" si="110"/>
        <v>0</v>
      </c>
      <c r="CQ131" s="2">
        <f t="shared" si="110"/>
        <v>0</v>
      </c>
      <c r="CR131" s="2">
        <f t="shared" si="110"/>
        <v>0</v>
      </c>
      <c r="CS131" s="2">
        <f t="shared" si="110"/>
        <v>0</v>
      </c>
      <c r="CT131" s="2">
        <f t="shared" si="110"/>
        <v>0</v>
      </c>
      <c r="CU131" s="2">
        <f t="shared" si="110"/>
        <v>0</v>
      </c>
      <c r="CV131" s="2">
        <f t="shared" si="110"/>
        <v>0</v>
      </c>
      <c r="CW131" s="2">
        <f t="shared" si="110"/>
        <v>0</v>
      </c>
      <c r="CX131" s="2">
        <f t="shared" si="110"/>
        <v>0</v>
      </c>
      <c r="CY131" s="2">
        <f t="shared" si="110"/>
        <v>0</v>
      </c>
      <c r="CZ131" s="2">
        <f t="shared" si="110"/>
        <v>0</v>
      </c>
      <c r="DA131" s="2">
        <f t="shared" si="110"/>
        <v>0</v>
      </c>
      <c r="DB131" s="2">
        <f t="shared" si="110"/>
        <v>0</v>
      </c>
      <c r="DC131" s="2">
        <f t="shared" si="110"/>
        <v>0</v>
      </c>
      <c r="DD131" s="2">
        <f t="shared" si="110"/>
        <v>0</v>
      </c>
      <c r="DE131" s="2">
        <f t="shared" si="110"/>
        <v>0</v>
      </c>
      <c r="DF131" s="2">
        <f t="shared" si="110"/>
        <v>0</v>
      </c>
      <c r="DG131" s="3">
        <f t="shared" ref="DG131:EL131" si="111">DG154</f>
        <v>0</v>
      </c>
      <c r="DH131" s="3">
        <f t="shared" si="111"/>
        <v>0</v>
      </c>
      <c r="DI131" s="3">
        <f t="shared" si="111"/>
        <v>0</v>
      </c>
      <c r="DJ131" s="3">
        <f t="shared" si="111"/>
        <v>0</v>
      </c>
      <c r="DK131" s="3">
        <f t="shared" si="111"/>
        <v>0</v>
      </c>
      <c r="DL131" s="3">
        <f t="shared" si="111"/>
        <v>0</v>
      </c>
      <c r="DM131" s="3">
        <f t="shared" si="111"/>
        <v>0</v>
      </c>
      <c r="DN131" s="3">
        <f t="shared" si="111"/>
        <v>0</v>
      </c>
      <c r="DO131" s="3">
        <f t="shared" si="111"/>
        <v>0</v>
      </c>
      <c r="DP131" s="3">
        <f t="shared" si="111"/>
        <v>0</v>
      </c>
      <c r="DQ131" s="3">
        <f t="shared" si="111"/>
        <v>0</v>
      </c>
      <c r="DR131" s="3">
        <f t="shared" si="111"/>
        <v>0</v>
      </c>
      <c r="DS131" s="3">
        <f t="shared" si="111"/>
        <v>0</v>
      </c>
      <c r="DT131" s="3">
        <f t="shared" si="111"/>
        <v>0</v>
      </c>
      <c r="DU131" s="3">
        <f t="shared" si="111"/>
        <v>0</v>
      </c>
      <c r="DV131" s="3">
        <f t="shared" si="111"/>
        <v>0</v>
      </c>
      <c r="DW131" s="3">
        <f t="shared" si="111"/>
        <v>0</v>
      </c>
      <c r="DX131" s="3">
        <f t="shared" si="111"/>
        <v>0</v>
      </c>
      <c r="DY131" s="3">
        <f t="shared" si="111"/>
        <v>0</v>
      </c>
      <c r="DZ131" s="3">
        <f t="shared" si="111"/>
        <v>0</v>
      </c>
      <c r="EA131" s="3">
        <f t="shared" si="111"/>
        <v>0</v>
      </c>
      <c r="EB131" s="3">
        <f t="shared" si="111"/>
        <v>0</v>
      </c>
      <c r="EC131" s="3">
        <f t="shared" si="111"/>
        <v>0</v>
      </c>
      <c r="ED131" s="3">
        <f t="shared" si="111"/>
        <v>0</v>
      </c>
      <c r="EE131" s="3">
        <f t="shared" si="111"/>
        <v>0</v>
      </c>
      <c r="EF131" s="3">
        <f t="shared" si="111"/>
        <v>0</v>
      </c>
      <c r="EG131" s="3">
        <f t="shared" si="111"/>
        <v>0</v>
      </c>
      <c r="EH131" s="3">
        <f t="shared" si="111"/>
        <v>0</v>
      </c>
      <c r="EI131" s="3">
        <f t="shared" si="111"/>
        <v>0</v>
      </c>
      <c r="EJ131" s="3">
        <f t="shared" si="111"/>
        <v>0</v>
      </c>
      <c r="EK131" s="3">
        <f t="shared" si="111"/>
        <v>0</v>
      </c>
      <c r="EL131" s="3">
        <f t="shared" si="111"/>
        <v>0</v>
      </c>
      <c r="EM131" s="3">
        <f t="shared" ref="EM131:FR131" si="112">EM154</f>
        <v>0</v>
      </c>
      <c r="EN131" s="3">
        <f t="shared" si="112"/>
        <v>0</v>
      </c>
      <c r="EO131" s="3">
        <f t="shared" si="112"/>
        <v>0</v>
      </c>
      <c r="EP131" s="3">
        <f t="shared" si="112"/>
        <v>0</v>
      </c>
      <c r="EQ131" s="3">
        <f t="shared" si="112"/>
        <v>0</v>
      </c>
      <c r="ER131" s="3">
        <f t="shared" si="112"/>
        <v>0</v>
      </c>
      <c r="ES131" s="3">
        <f t="shared" si="112"/>
        <v>0</v>
      </c>
      <c r="ET131" s="3">
        <f t="shared" si="112"/>
        <v>0</v>
      </c>
      <c r="EU131" s="3">
        <f t="shared" si="112"/>
        <v>0</v>
      </c>
      <c r="EV131" s="3">
        <f t="shared" si="112"/>
        <v>0</v>
      </c>
      <c r="EW131" s="3">
        <f t="shared" si="112"/>
        <v>0</v>
      </c>
      <c r="EX131" s="3">
        <f t="shared" si="112"/>
        <v>0</v>
      </c>
      <c r="EY131" s="3">
        <f t="shared" si="112"/>
        <v>0</v>
      </c>
      <c r="EZ131" s="3">
        <f t="shared" si="112"/>
        <v>0</v>
      </c>
      <c r="FA131" s="3">
        <f t="shared" si="112"/>
        <v>0</v>
      </c>
      <c r="FB131" s="3">
        <f t="shared" si="112"/>
        <v>0</v>
      </c>
      <c r="FC131" s="3">
        <f t="shared" si="112"/>
        <v>0</v>
      </c>
      <c r="FD131" s="3">
        <f t="shared" si="112"/>
        <v>0</v>
      </c>
      <c r="FE131" s="3">
        <f t="shared" si="112"/>
        <v>0</v>
      </c>
      <c r="FF131" s="3">
        <f t="shared" si="112"/>
        <v>0</v>
      </c>
      <c r="FG131" s="3">
        <f t="shared" si="112"/>
        <v>0</v>
      </c>
      <c r="FH131" s="3">
        <f t="shared" si="112"/>
        <v>0</v>
      </c>
      <c r="FI131" s="3">
        <f t="shared" si="112"/>
        <v>0</v>
      </c>
      <c r="FJ131" s="3">
        <f t="shared" si="112"/>
        <v>0</v>
      </c>
      <c r="FK131" s="3">
        <f t="shared" si="112"/>
        <v>0</v>
      </c>
      <c r="FL131" s="3">
        <f t="shared" si="112"/>
        <v>0</v>
      </c>
      <c r="FM131" s="3">
        <f t="shared" si="112"/>
        <v>0</v>
      </c>
      <c r="FN131" s="3">
        <f t="shared" si="112"/>
        <v>0</v>
      </c>
      <c r="FO131" s="3">
        <f t="shared" si="112"/>
        <v>0</v>
      </c>
      <c r="FP131" s="3">
        <f t="shared" si="112"/>
        <v>0</v>
      </c>
      <c r="FQ131" s="3">
        <f t="shared" si="112"/>
        <v>0</v>
      </c>
      <c r="FR131" s="3">
        <f t="shared" si="112"/>
        <v>0</v>
      </c>
      <c r="FS131" s="3">
        <f t="shared" ref="FS131:GX131" si="113">FS154</f>
        <v>0</v>
      </c>
      <c r="FT131" s="3">
        <f t="shared" si="113"/>
        <v>0</v>
      </c>
      <c r="FU131" s="3">
        <f t="shared" si="113"/>
        <v>0</v>
      </c>
      <c r="FV131" s="3">
        <f t="shared" si="113"/>
        <v>0</v>
      </c>
      <c r="FW131" s="3">
        <f t="shared" si="113"/>
        <v>0</v>
      </c>
      <c r="FX131" s="3">
        <f t="shared" si="113"/>
        <v>0</v>
      </c>
      <c r="FY131" s="3">
        <f t="shared" si="113"/>
        <v>0</v>
      </c>
      <c r="FZ131" s="3">
        <f t="shared" si="113"/>
        <v>0</v>
      </c>
      <c r="GA131" s="3">
        <f t="shared" si="113"/>
        <v>0</v>
      </c>
      <c r="GB131" s="3">
        <f t="shared" si="113"/>
        <v>0</v>
      </c>
      <c r="GC131" s="3">
        <f t="shared" si="113"/>
        <v>0</v>
      </c>
      <c r="GD131" s="3">
        <f t="shared" si="113"/>
        <v>0</v>
      </c>
      <c r="GE131" s="3">
        <f t="shared" si="113"/>
        <v>0</v>
      </c>
      <c r="GF131" s="3">
        <f t="shared" si="113"/>
        <v>0</v>
      </c>
      <c r="GG131" s="3">
        <f t="shared" si="113"/>
        <v>0</v>
      </c>
      <c r="GH131" s="3">
        <f t="shared" si="113"/>
        <v>0</v>
      </c>
      <c r="GI131" s="3">
        <f t="shared" si="113"/>
        <v>0</v>
      </c>
      <c r="GJ131" s="3">
        <f t="shared" si="113"/>
        <v>0</v>
      </c>
      <c r="GK131" s="3">
        <f t="shared" si="113"/>
        <v>0</v>
      </c>
      <c r="GL131" s="3">
        <f t="shared" si="113"/>
        <v>0</v>
      </c>
      <c r="GM131" s="3">
        <f t="shared" si="113"/>
        <v>0</v>
      </c>
      <c r="GN131" s="3">
        <f t="shared" si="113"/>
        <v>0</v>
      </c>
      <c r="GO131" s="3">
        <f t="shared" si="113"/>
        <v>0</v>
      </c>
      <c r="GP131" s="3">
        <f t="shared" si="113"/>
        <v>0</v>
      </c>
      <c r="GQ131" s="3">
        <f t="shared" si="113"/>
        <v>0</v>
      </c>
      <c r="GR131" s="3">
        <f t="shared" si="113"/>
        <v>0</v>
      </c>
      <c r="GS131" s="3">
        <f t="shared" si="113"/>
        <v>0</v>
      </c>
      <c r="GT131" s="3">
        <f t="shared" si="113"/>
        <v>0</v>
      </c>
      <c r="GU131" s="3">
        <f t="shared" si="113"/>
        <v>0</v>
      </c>
      <c r="GV131" s="3">
        <f t="shared" si="113"/>
        <v>0</v>
      </c>
      <c r="GW131" s="3">
        <f t="shared" si="113"/>
        <v>0</v>
      </c>
      <c r="GX131" s="3">
        <f t="shared" si="113"/>
        <v>0</v>
      </c>
    </row>
    <row r="133" spans="1:245" x14ac:dyDescent="0.25">
      <c r="A133">
        <v>17</v>
      </c>
      <c r="B133">
        <v>1</v>
      </c>
      <c r="C133">
        <f>ROW(SmtRes!A48)</f>
        <v>48</v>
      </c>
      <c r="D133">
        <f>ROW(EtalonRes!A48)</f>
        <v>48</v>
      </c>
      <c r="E133" t="s">
        <v>189</v>
      </c>
      <c r="F133" t="s">
        <v>190</v>
      </c>
      <c r="G133" t="s">
        <v>191</v>
      </c>
      <c r="H133" t="s">
        <v>29</v>
      </c>
      <c r="I133">
        <f>ROUND(8458.1/100,9)</f>
        <v>84.581000000000003</v>
      </c>
      <c r="J133">
        <v>0</v>
      </c>
      <c r="K133">
        <f>ROUND(8458.1/100,9)</f>
        <v>84.581000000000003</v>
      </c>
      <c r="O133">
        <f t="shared" ref="O133:O152" si="114">ROUND(CP133,2)</f>
        <v>23208.18</v>
      </c>
      <c r="P133">
        <f t="shared" ref="P133:P152" si="115">ROUND(CQ133*I133,2)</f>
        <v>0</v>
      </c>
      <c r="Q133">
        <f t="shared" ref="Q133:Q152" si="116">ROUND(CR133*I133,2)</f>
        <v>595.45000000000005</v>
      </c>
      <c r="R133">
        <f t="shared" ref="R133:R152" si="117">ROUND(CS133*I133,2)</f>
        <v>5.92</v>
      </c>
      <c r="S133">
        <f t="shared" ref="S133:S152" si="118">ROUND(CT133*I133,2)</f>
        <v>22612.73</v>
      </c>
      <c r="T133">
        <f t="shared" ref="T133:T152" si="119">ROUND(CU133*I133,2)</f>
        <v>0</v>
      </c>
      <c r="U133">
        <f t="shared" ref="U133:U152" si="120">CV133*I133</f>
        <v>49.902789999999996</v>
      </c>
      <c r="V133">
        <f t="shared" ref="V133:V152" si="121">CW133*I133</f>
        <v>0</v>
      </c>
      <c r="W133">
        <f t="shared" ref="W133:W152" si="122">ROUND(CX133*I133,2)</f>
        <v>0</v>
      </c>
      <c r="X133">
        <f t="shared" ref="X133:X152" si="123">ROUND(CY133,2)</f>
        <v>15828.91</v>
      </c>
      <c r="Y133">
        <f t="shared" ref="Y133:Y152" si="124">ROUND(CZ133,2)</f>
        <v>2261.27</v>
      </c>
      <c r="AA133">
        <v>80890340</v>
      </c>
      <c r="AB133">
        <f t="shared" ref="AB133:AB152" si="125">ROUND((AC133+AD133+AF133),6)</f>
        <v>274.39</v>
      </c>
      <c r="AC133">
        <f>ROUND((ES133),6)</f>
        <v>0</v>
      </c>
      <c r="AD133">
        <f>ROUND((((ET133)-(EU133))+AE133),6)</f>
        <v>7.04</v>
      </c>
      <c r="AE133">
        <f t="shared" ref="AE133:AF135" si="126">ROUND((EU133),6)</f>
        <v>7.0000000000000007E-2</v>
      </c>
      <c r="AF133">
        <f t="shared" si="126"/>
        <v>267.35000000000002</v>
      </c>
      <c r="AG133">
        <f t="shared" ref="AG133:AG152" si="127">ROUND((AP133),6)</f>
        <v>0</v>
      </c>
      <c r="AH133">
        <f t="shared" ref="AH133:AI135" si="128">(EW133)</f>
        <v>0.59</v>
      </c>
      <c r="AI133">
        <f t="shared" si="128"/>
        <v>0</v>
      </c>
      <c r="AJ133">
        <f t="shared" ref="AJ133:AJ152" si="129">(AS133)</f>
        <v>0</v>
      </c>
      <c r="AK133">
        <v>274.39</v>
      </c>
      <c r="AL133">
        <v>0</v>
      </c>
      <c r="AM133">
        <v>7.04</v>
      </c>
      <c r="AN133">
        <v>7.0000000000000007E-2</v>
      </c>
      <c r="AO133">
        <v>267.35000000000002</v>
      </c>
      <c r="AP133">
        <v>0</v>
      </c>
      <c r="AQ133">
        <v>0.59</v>
      </c>
      <c r="AR133">
        <v>0</v>
      </c>
      <c r="AS133">
        <v>0</v>
      </c>
      <c r="AT133">
        <v>70</v>
      </c>
      <c r="AU133">
        <v>10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4</v>
      </c>
      <c r="BJ133" t="s">
        <v>192</v>
      </c>
      <c r="BM133">
        <v>0</v>
      </c>
      <c r="BN133">
        <v>0</v>
      </c>
      <c r="BO133" t="s">
        <v>3</v>
      </c>
      <c r="BP133">
        <v>0</v>
      </c>
      <c r="BQ133">
        <v>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70</v>
      </c>
      <c r="CA133">
        <v>10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ref="CP133:CP152" si="130">(P133+Q133+S133)</f>
        <v>23208.18</v>
      </c>
      <c r="CQ133">
        <f t="shared" ref="CQ133:CQ152" si="131">(AC133*BC133*AW133)</f>
        <v>0</v>
      </c>
      <c r="CR133">
        <f>((((ET133)*BB133-(EU133)*BS133)+AE133*BS133)*AV133)</f>
        <v>7.04</v>
      </c>
      <c r="CS133">
        <f t="shared" ref="CS133:CS152" si="132">(AE133*BS133*AV133)</f>
        <v>7.0000000000000007E-2</v>
      </c>
      <c r="CT133">
        <f t="shared" ref="CT133:CT152" si="133">(AF133*BA133*AV133)</f>
        <v>267.35000000000002</v>
      </c>
      <c r="CU133">
        <f t="shared" ref="CU133:CU152" si="134">AG133</f>
        <v>0</v>
      </c>
      <c r="CV133">
        <f t="shared" ref="CV133:CV152" si="135">(AH133*AV133)</f>
        <v>0.59</v>
      </c>
      <c r="CW133">
        <f t="shared" ref="CW133:CW152" si="136">AI133</f>
        <v>0</v>
      </c>
      <c r="CX133">
        <f t="shared" ref="CX133:CX152" si="137">AJ133</f>
        <v>0</v>
      </c>
      <c r="CY133">
        <f t="shared" ref="CY133:CY152" si="138">((S133*BZ133)/100)</f>
        <v>15828.910999999998</v>
      </c>
      <c r="CZ133">
        <f t="shared" ref="CZ133:CZ152" si="139">((S133*CA133)/100)</f>
        <v>2261.2729999999997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1005</v>
      </c>
      <c r="DV133" t="s">
        <v>29</v>
      </c>
      <c r="DW133" t="s">
        <v>29</v>
      </c>
      <c r="DX133">
        <v>100</v>
      </c>
      <c r="DZ133" t="s">
        <v>3</v>
      </c>
      <c r="EA133" t="s">
        <v>3</v>
      </c>
      <c r="EB133" t="s">
        <v>3</v>
      </c>
      <c r="EC133" t="s">
        <v>3</v>
      </c>
      <c r="EE133">
        <v>80196140</v>
      </c>
      <c r="EF133">
        <v>1</v>
      </c>
      <c r="EG133" t="s">
        <v>23</v>
      </c>
      <c r="EH133">
        <v>0</v>
      </c>
      <c r="EI133" t="s">
        <v>3</v>
      </c>
      <c r="EJ133">
        <v>4</v>
      </c>
      <c r="EK133">
        <v>0</v>
      </c>
      <c r="EL133" t="s">
        <v>24</v>
      </c>
      <c r="EM133" t="s">
        <v>25</v>
      </c>
      <c r="EO133" t="s">
        <v>3</v>
      </c>
      <c r="EQ133">
        <v>0</v>
      </c>
      <c r="ER133">
        <v>274.39</v>
      </c>
      <c r="ES133">
        <v>0</v>
      </c>
      <c r="ET133">
        <v>7.04</v>
      </c>
      <c r="EU133">
        <v>7.0000000000000007E-2</v>
      </c>
      <c r="EV133">
        <v>267.35000000000002</v>
      </c>
      <c r="EW133">
        <v>0.59</v>
      </c>
      <c r="EX133">
        <v>0</v>
      </c>
      <c r="EY133">
        <v>0</v>
      </c>
      <c r="FQ133">
        <v>0</v>
      </c>
      <c r="FR133">
        <v>0</v>
      </c>
      <c r="FS133">
        <v>0</v>
      </c>
      <c r="FX133">
        <v>70</v>
      </c>
      <c r="FY133">
        <v>10</v>
      </c>
      <c r="GA133" t="s">
        <v>3</v>
      </c>
      <c r="GD133">
        <v>0</v>
      </c>
      <c r="GF133">
        <v>-1162331486</v>
      </c>
      <c r="GG133">
        <v>2</v>
      </c>
      <c r="GH133">
        <v>1</v>
      </c>
      <c r="GI133">
        <v>-2</v>
      </c>
      <c r="GJ133">
        <v>0</v>
      </c>
      <c r="GK133">
        <f>ROUND(R133*(R12)/100,2)</f>
        <v>6.39</v>
      </c>
      <c r="GL133">
        <f t="shared" ref="GL133:GL152" si="140">ROUND(IF(AND(BH133=3,BI133=3,FS133&lt;&gt;0),P133,0),2)</f>
        <v>0</v>
      </c>
      <c r="GM133">
        <f t="shared" ref="GM133:GM152" si="141">ROUND(O133+X133+Y133+GK133,2)+GX133</f>
        <v>41304.75</v>
      </c>
      <c r="GN133">
        <f t="shared" ref="GN133:GN152" si="142">IF(OR(BI133=0,BI133=1),GM133-GX133,0)</f>
        <v>0</v>
      </c>
      <c r="GO133">
        <f t="shared" ref="GO133:GO152" si="143">IF(BI133=2,GM133-GX133,0)</f>
        <v>0</v>
      </c>
      <c r="GP133">
        <f t="shared" ref="GP133:GP152" si="144">IF(BI133=4,GM133-GX133,0)</f>
        <v>41304.75</v>
      </c>
      <c r="GR133">
        <v>0</v>
      </c>
      <c r="GS133">
        <v>3</v>
      </c>
      <c r="GT133">
        <v>0</v>
      </c>
      <c r="GU133" t="s">
        <v>3</v>
      </c>
      <c r="GV133">
        <f t="shared" ref="GV133:GV152" si="145">ROUND((GT133),6)</f>
        <v>0</v>
      </c>
      <c r="GW133">
        <v>1</v>
      </c>
      <c r="GX133">
        <f t="shared" ref="GX133:GX152" si="146">ROUND(HC133*I133,2)</f>
        <v>0</v>
      </c>
      <c r="HA133">
        <v>0</v>
      </c>
      <c r="HB133">
        <v>0</v>
      </c>
      <c r="HC133">
        <f t="shared" ref="HC133:HC152" si="147">GV133*GW133</f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HS133">
        <v>0</v>
      </c>
      <c r="IK133">
        <v>0</v>
      </c>
    </row>
    <row r="134" spans="1:245" x14ac:dyDescent="0.25">
      <c r="A134">
        <v>17</v>
      </c>
      <c r="B134">
        <v>1</v>
      </c>
      <c r="C134">
        <f>ROW(SmtRes!A49)</f>
        <v>49</v>
      </c>
      <c r="D134">
        <f>ROW(EtalonRes!A49)</f>
        <v>49</v>
      </c>
      <c r="E134" t="s">
        <v>193</v>
      </c>
      <c r="F134" t="s">
        <v>194</v>
      </c>
      <c r="G134" t="s">
        <v>195</v>
      </c>
      <c r="H134" t="s">
        <v>29</v>
      </c>
      <c r="I134">
        <f>ROUND(8458.1/100,9)</f>
        <v>84.581000000000003</v>
      </c>
      <c r="J134">
        <v>0</v>
      </c>
      <c r="K134">
        <f>ROUND(8458.1/100,9)</f>
        <v>84.581000000000003</v>
      </c>
      <c r="O134">
        <f t="shared" si="114"/>
        <v>61322.92</v>
      </c>
      <c r="P134">
        <f t="shared" si="115"/>
        <v>0</v>
      </c>
      <c r="Q134">
        <f t="shared" si="116"/>
        <v>0</v>
      </c>
      <c r="R134">
        <f t="shared" si="117"/>
        <v>0</v>
      </c>
      <c r="S134">
        <f t="shared" si="118"/>
        <v>61322.92</v>
      </c>
      <c r="T134">
        <f t="shared" si="119"/>
        <v>0</v>
      </c>
      <c r="U134">
        <f t="shared" si="120"/>
        <v>135.3296</v>
      </c>
      <c r="V134">
        <f t="shared" si="121"/>
        <v>0</v>
      </c>
      <c r="W134">
        <f t="shared" si="122"/>
        <v>0</v>
      </c>
      <c r="X134">
        <f t="shared" si="123"/>
        <v>42926.04</v>
      </c>
      <c r="Y134">
        <f t="shared" si="124"/>
        <v>6132.29</v>
      </c>
      <c r="AA134">
        <v>80890340</v>
      </c>
      <c r="AB134">
        <f t="shared" si="125"/>
        <v>725.02</v>
      </c>
      <c r="AC134">
        <f>ROUND((ES134),6)</f>
        <v>0</v>
      </c>
      <c r="AD134">
        <f>ROUND((((ET134)-(EU134))+AE134),6)</f>
        <v>0</v>
      </c>
      <c r="AE134">
        <f t="shared" si="126"/>
        <v>0</v>
      </c>
      <c r="AF134">
        <f t="shared" si="126"/>
        <v>725.02</v>
      </c>
      <c r="AG134">
        <f t="shared" si="127"/>
        <v>0</v>
      </c>
      <c r="AH134">
        <f t="shared" si="128"/>
        <v>1.6</v>
      </c>
      <c r="AI134">
        <f t="shared" si="128"/>
        <v>0</v>
      </c>
      <c r="AJ134">
        <f t="shared" si="129"/>
        <v>0</v>
      </c>
      <c r="AK134">
        <v>725.02</v>
      </c>
      <c r="AL134">
        <v>0</v>
      </c>
      <c r="AM134">
        <v>0</v>
      </c>
      <c r="AN134">
        <v>0</v>
      </c>
      <c r="AO134">
        <v>725.02</v>
      </c>
      <c r="AP134">
        <v>0</v>
      </c>
      <c r="AQ134">
        <v>1.6</v>
      </c>
      <c r="AR134">
        <v>0</v>
      </c>
      <c r="AS134">
        <v>0</v>
      </c>
      <c r="AT134">
        <v>70</v>
      </c>
      <c r="AU134">
        <v>10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196</v>
      </c>
      <c r="BM134">
        <v>0</v>
      </c>
      <c r="BN134">
        <v>0</v>
      </c>
      <c r="BO134" t="s">
        <v>3</v>
      </c>
      <c r="BP134">
        <v>0</v>
      </c>
      <c r="BQ134">
        <v>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70</v>
      </c>
      <c r="CA134">
        <v>10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30"/>
        <v>61322.92</v>
      </c>
      <c r="CQ134">
        <f t="shared" si="131"/>
        <v>0</v>
      </c>
      <c r="CR134">
        <f>((((ET134)*BB134-(EU134)*BS134)+AE134*BS134)*AV134)</f>
        <v>0</v>
      </c>
      <c r="CS134">
        <f t="shared" si="132"/>
        <v>0</v>
      </c>
      <c r="CT134">
        <f t="shared" si="133"/>
        <v>725.02</v>
      </c>
      <c r="CU134">
        <f t="shared" si="134"/>
        <v>0</v>
      </c>
      <c r="CV134">
        <f t="shared" si="135"/>
        <v>1.6</v>
      </c>
      <c r="CW134">
        <f t="shared" si="136"/>
        <v>0</v>
      </c>
      <c r="CX134">
        <f t="shared" si="137"/>
        <v>0</v>
      </c>
      <c r="CY134">
        <f t="shared" si="138"/>
        <v>42926.043999999994</v>
      </c>
      <c r="CZ134">
        <f t="shared" si="139"/>
        <v>6132.2919999999995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1005</v>
      </c>
      <c r="DV134" t="s">
        <v>29</v>
      </c>
      <c r="DW134" t="s">
        <v>29</v>
      </c>
      <c r="DX134">
        <v>100</v>
      </c>
      <c r="DZ134" t="s">
        <v>3</v>
      </c>
      <c r="EA134" t="s">
        <v>3</v>
      </c>
      <c r="EB134" t="s">
        <v>3</v>
      </c>
      <c r="EC134" t="s">
        <v>3</v>
      </c>
      <c r="EE134">
        <v>80196140</v>
      </c>
      <c r="EF134">
        <v>1</v>
      </c>
      <c r="EG134" t="s">
        <v>23</v>
      </c>
      <c r="EH134">
        <v>0</v>
      </c>
      <c r="EI134" t="s">
        <v>3</v>
      </c>
      <c r="EJ134">
        <v>4</v>
      </c>
      <c r="EK134">
        <v>0</v>
      </c>
      <c r="EL134" t="s">
        <v>24</v>
      </c>
      <c r="EM134" t="s">
        <v>25</v>
      </c>
      <c r="EO134" t="s">
        <v>3</v>
      </c>
      <c r="EQ134">
        <v>0</v>
      </c>
      <c r="ER134">
        <v>725.02</v>
      </c>
      <c r="ES134">
        <v>0</v>
      </c>
      <c r="ET134">
        <v>0</v>
      </c>
      <c r="EU134">
        <v>0</v>
      </c>
      <c r="EV134">
        <v>725.02</v>
      </c>
      <c r="EW134">
        <v>1.6</v>
      </c>
      <c r="EX134">
        <v>0</v>
      </c>
      <c r="EY134">
        <v>0</v>
      </c>
      <c r="FQ134">
        <v>0</v>
      </c>
      <c r="FR134">
        <v>0</v>
      </c>
      <c r="FS134">
        <v>0</v>
      </c>
      <c r="FX134">
        <v>70</v>
      </c>
      <c r="FY134">
        <v>10</v>
      </c>
      <c r="GA134" t="s">
        <v>3</v>
      </c>
      <c r="GD134">
        <v>0</v>
      </c>
      <c r="GF134">
        <v>-2048109836</v>
      </c>
      <c r="GG134">
        <v>2</v>
      </c>
      <c r="GH134">
        <v>1</v>
      </c>
      <c r="GI134">
        <v>-2</v>
      </c>
      <c r="GJ134">
        <v>0</v>
      </c>
      <c r="GK134">
        <f>ROUND(R134*(R12)/100,2)</f>
        <v>0</v>
      </c>
      <c r="GL134">
        <f t="shared" si="140"/>
        <v>0</v>
      </c>
      <c r="GM134">
        <f t="shared" si="141"/>
        <v>110381.25</v>
      </c>
      <c r="GN134">
        <f t="shared" si="142"/>
        <v>0</v>
      </c>
      <c r="GO134">
        <f t="shared" si="143"/>
        <v>0</v>
      </c>
      <c r="GP134">
        <f t="shared" si="144"/>
        <v>110381.25</v>
      </c>
      <c r="GR134">
        <v>0</v>
      </c>
      <c r="GS134">
        <v>3</v>
      </c>
      <c r="GT134">
        <v>0</v>
      </c>
      <c r="GU134" t="s">
        <v>3</v>
      </c>
      <c r="GV134">
        <f t="shared" si="145"/>
        <v>0</v>
      </c>
      <c r="GW134">
        <v>1</v>
      </c>
      <c r="GX134">
        <f t="shared" si="146"/>
        <v>0</v>
      </c>
      <c r="HA134">
        <v>0</v>
      </c>
      <c r="HB134">
        <v>0</v>
      </c>
      <c r="HC134">
        <f t="shared" si="147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HS134">
        <v>0</v>
      </c>
      <c r="IK134">
        <v>0</v>
      </c>
    </row>
    <row r="135" spans="1:245" x14ac:dyDescent="0.25">
      <c r="A135">
        <v>17</v>
      </c>
      <c r="B135">
        <v>1</v>
      </c>
      <c r="C135">
        <f>ROW(SmtRes!A52)</f>
        <v>52</v>
      </c>
      <c r="D135">
        <f>ROW(EtalonRes!A52)</f>
        <v>52</v>
      </c>
      <c r="E135" t="s">
        <v>197</v>
      </c>
      <c r="F135" t="s">
        <v>198</v>
      </c>
      <c r="G135" t="s">
        <v>199</v>
      </c>
      <c r="H135" t="s">
        <v>39</v>
      </c>
      <c r="I135">
        <v>42.29</v>
      </c>
      <c r="J135">
        <v>0</v>
      </c>
      <c r="K135">
        <v>42.29</v>
      </c>
      <c r="O135">
        <f t="shared" si="114"/>
        <v>28028.11</v>
      </c>
      <c r="P135">
        <f t="shared" si="115"/>
        <v>3078.71</v>
      </c>
      <c r="Q135">
        <f t="shared" si="116"/>
        <v>14660.67</v>
      </c>
      <c r="R135">
        <f t="shared" si="117"/>
        <v>6338.43</v>
      </c>
      <c r="S135">
        <f t="shared" si="118"/>
        <v>10288.73</v>
      </c>
      <c r="T135">
        <f t="shared" si="119"/>
        <v>0</v>
      </c>
      <c r="U135">
        <f t="shared" si="120"/>
        <v>20.299199999999999</v>
      </c>
      <c r="V135">
        <f t="shared" si="121"/>
        <v>0</v>
      </c>
      <c r="W135">
        <f t="shared" si="122"/>
        <v>0</v>
      </c>
      <c r="X135">
        <f t="shared" si="123"/>
        <v>7202.11</v>
      </c>
      <c r="Y135">
        <f t="shared" si="124"/>
        <v>1028.8699999999999</v>
      </c>
      <c r="AA135">
        <v>80890340</v>
      </c>
      <c r="AB135">
        <f t="shared" si="125"/>
        <v>662.76</v>
      </c>
      <c r="AC135">
        <f>ROUND((ES135),6)</f>
        <v>72.8</v>
      </c>
      <c r="AD135">
        <f>ROUND((((ET135)-(EU135))+AE135),6)</f>
        <v>346.67</v>
      </c>
      <c r="AE135">
        <f t="shared" si="126"/>
        <v>149.88</v>
      </c>
      <c r="AF135">
        <f t="shared" si="126"/>
        <v>243.29</v>
      </c>
      <c r="AG135">
        <f t="shared" si="127"/>
        <v>0</v>
      </c>
      <c r="AH135">
        <f t="shared" si="128"/>
        <v>0.48</v>
      </c>
      <c r="AI135">
        <f t="shared" si="128"/>
        <v>0</v>
      </c>
      <c r="AJ135">
        <f t="shared" si="129"/>
        <v>0</v>
      </c>
      <c r="AK135">
        <v>662.76</v>
      </c>
      <c r="AL135">
        <v>72.8</v>
      </c>
      <c r="AM135">
        <v>346.67</v>
      </c>
      <c r="AN135">
        <v>149.88</v>
      </c>
      <c r="AO135">
        <v>243.29</v>
      </c>
      <c r="AP135">
        <v>0</v>
      </c>
      <c r="AQ135">
        <v>0.48</v>
      </c>
      <c r="AR135">
        <v>0</v>
      </c>
      <c r="AS135">
        <v>0</v>
      </c>
      <c r="AT135">
        <v>70</v>
      </c>
      <c r="AU135">
        <v>10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1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4</v>
      </c>
      <c r="BJ135" t="s">
        <v>200</v>
      </c>
      <c r="BM135">
        <v>0</v>
      </c>
      <c r="BN135">
        <v>0</v>
      </c>
      <c r="BO135" t="s">
        <v>3</v>
      </c>
      <c r="BP135">
        <v>0</v>
      </c>
      <c r="BQ135">
        <v>1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70</v>
      </c>
      <c r="CA135">
        <v>10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130"/>
        <v>28028.11</v>
      </c>
      <c r="CQ135">
        <f t="shared" si="131"/>
        <v>72.8</v>
      </c>
      <c r="CR135">
        <f>((((ET135)*BB135-(EU135)*BS135)+AE135*BS135)*AV135)</f>
        <v>346.67</v>
      </c>
      <c r="CS135">
        <f t="shared" si="132"/>
        <v>149.88</v>
      </c>
      <c r="CT135">
        <f t="shared" si="133"/>
        <v>243.29</v>
      </c>
      <c r="CU135">
        <f t="shared" si="134"/>
        <v>0</v>
      </c>
      <c r="CV135">
        <f t="shared" si="135"/>
        <v>0.48</v>
      </c>
      <c r="CW135">
        <f t="shared" si="136"/>
        <v>0</v>
      </c>
      <c r="CX135">
        <f t="shared" si="137"/>
        <v>0</v>
      </c>
      <c r="CY135">
        <f t="shared" si="138"/>
        <v>7202.1109999999999</v>
      </c>
      <c r="CZ135">
        <f t="shared" si="139"/>
        <v>1028.8729999999998</v>
      </c>
      <c r="DC135" t="s">
        <v>3</v>
      </c>
      <c r="DD135" t="s">
        <v>3</v>
      </c>
      <c r="DE135" t="s">
        <v>3</v>
      </c>
      <c r="DF135" t="s">
        <v>3</v>
      </c>
      <c r="DG135" t="s">
        <v>3</v>
      </c>
      <c r="DH135" t="s">
        <v>3</v>
      </c>
      <c r="DI135" t="s">
        <v>3</v>
      </c>
      <c r="DJ135" t="s">
        <v>3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1007</v>
      </c>
      <c r="DV135" t="s">
        <v>39</v>
      </c>
      <c r="DW135" t="s">
        <v>39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80196140</v>
      </c>
      <c r="EF135">
        <v>1</v>
      </c>
      <c r="EG135" t="s">
        <v>23</v>
      </c>
      <c r="EH135">
        <v>0</v>
      </c>
      <c r="EI135" t="s">
        <v>3</v>
      </c>
      <c r="EJ135">
        <v>4</v>
      </c>
      <c r="EK135">
        <v>0</v>
      </c>
      <c r="EL135" t="s">
        <v>24</v>
      </c>
      <c r="EM135" t="s">
        <v>25</v>
      </c>
      <c r="EO135" t="s">
        <v>3</v>
      </c>
      <c r="EQ135">
        <v>0</v>
      </c>
      <c r="ER135">
        <v>662.76</v>
      </c>
      <c r="ES135">
        <v>72.8</v>
      </c>
      <c r="ET135">
        <v>346.67</v>
      </c>
      <c r="EU135">
        <v>149.88</v>
      </c>
      <c r="EV135">
        <v>243.29</v>
      </c>
      <c r="EW135">
        <v>0.48</v>
      </c>
      <c r="EX135">
        <v>0</v>
      </c>
      <c r="EY135">
        <v>0</v>
      </c>
      <c r="FQ135">
        <v>0</v>
      </c>
      <c r="FR135">
        <v>0</v>
      </c>
      <c r="FS135">
        <v>0</v>
      </c>
      <c r="FX135">
        <v>70</v>
      </c>
      <c r="FY135">
        <v>10</v>
      </c>
      <c r="GA135" t="s">
        <v>3</v>
      </c>
      <c r="GD135">
        <v>0</v>
      </c>
      <c r="GF135">
        <v>982569535</v>
      </c>
      <c r="GG135">
        <v>2</v>
      </c>
      <c r="GH135">
        <v>1</v>
      </c>
      <c r="GI135">
        <v>-2</v>
      </c>
      <c r="GJ135">
        <v>0</v>
      </c>
      <c r="GK135">
        <f>ROUND(R135*(R12)/100,2)</f>
        <v>6845.5</v>
      </c>
      <c r="GL135">
        <f t="shared" si="140"/>
        <v>0</v>
      </c>
      <c r="GM135">
        <f t="shared" si="141"/>
        <v>43104.59</v>
      </c>
      <c r="GN135">
        <f t="shared" si="142"/>
        <v>0</v>
      </c>
      <c r="GO135">
        <f t="shared" si="143"/>
        <v>0</v>
      </c>
      <c r="GP135">
        <f t="shared" si="144"/>
        <v>43104.59</v>
      </c>
      <c r="GR135">
        <v>0</v>
      </c>
      <c r="GS135">
        <v>3</v>
      </c>
      <c r="GT135">
        <v>0</v>
      </c>
      <c r="GU135" t="s">
        <v>3</v>
      </c>
      <c r="GV135">
        <f t="shared" si="145"/>
        <v>0</v>
      </c>
      <c r="GW135">
        <v>1</v>
      </c>
      <c r="GX135">
        <f t="shared" si="146"/>
        <v>0</v>
      </c>
      <c r="HA135">
        <v>0</v>
      </c>
      <c r="HB135">
        <v>0</v>
      </c>
      <c r="HC135">
        <f t="shared" si="147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HS135">
        <v>0</v>
      </c>
      <c r="IK135">
        <v>0</v>
      </c>
    </row>
    <row r="136" spans="1:245" x14ac:dyDescent="0.25">
      <c r="A136">
        <v>17</v>
      </c>
      <c r="B136">
        <v>1</v>
      </c>
      <c r="C136">
        <f>ROW(SmtRes!A54)</f>
        <v>54</v>
      </c>
      <c r="D136">
        <f>ROW(EtalonRes!A54)</f>
        <v>54</v>
      </c>
      <c r="E136" t="s">
        <v>201</v>
      </c>
      <c r="F136" t="s">
        <v>202</v>
      </c>
      <c r="G136" t="s">
        <v>203</v>
      </c>
      <c r="H136" t="s">
        <v>29</v>
      </c>
      <c r="I136">
        <v>169.16200000000001</v>
      </c>
      <c r="J136">
        <v>0</v>
      </c>
      <c r="K136">
        <v>169.16200000000001</v>
      </c>
      <c r="O136">
        <f t="shared" si="114"/>
        <v>793442.52</v>
      </c>
      <c r="P136">
        <f t="shared" si="115"/>
        <v>30633.55</v>
      </c>
      <c r="Q136">
        <f t="shared" si="116"/>
        <v>0</v>
      </c>
      <c r="R136">
        <f t="shared" si="117"/>
        <v>0</v>
      </c>
      <c r="S136">
        <f t="shared" si="118"/>
        <v>762808.97</v>
      </c>
      <c r="T136">
        <f t="shared" si="119"/>
        <v>0</v>
      </c>
      <c r="U136">
        <f t="shared" si="120"/>
        <v>1683.1619000000003</v>
      </c>
      <c r="V136">
        <f t="shared" si="121"/>
        <v>0</v>
      </c>
      <c r="W136">
        <f t="shared" si="122"/>
        <v>0</v>
      </c>
      <c r="X136">
        <f t="shared" si="123"/>
        <v>533966.28</v>
      </c>
      <c r="Y136">
        <f t="shared" si="124"/>
        <v>76280.899999999994</v>
      </c>
      <c r="AA136">
        <v>80890340</v>
      </c>
      <c r="AB136">
        <f t="shared" si="125"/>
        <v>4690.43</v>
      </c>
      <c r="AC136">
        <f>ROUND(((ES136*199)),6)</f>
        <v>181.09</v>
      </c>
      <c r="AD136">
        <f>ROUND(((((ET136*199))-((EU136*199)))+AE136),6)</f>
        <v>0</v>
      </c>
      <c r="AE136">
        <f>ROUND(((EU136*199)),6)</f>
        <v>0</v>
      </c>
      <c r="AF136">
        <f>ROUND(((EV136*199)),6)</f>
        <v>4509.34</v>
      </c>
      <c r="AG136">
        <f t="shared" si="127"/>
        <v>0</v>
      </c>
      <c r="AH136">
        <f>((EW136*199))</f>
        <v>9.9500000000000011</v>
      </c>
      <c r="AI136">
        <f>((EX136*199))</f>
        <v>0</v>
      </c>
      <c r="AJ136">
        <f t="shared" si="129"/>
        <v>0</v>
      </c>
      <c r="AK136">
        <v>23.57</v>
      </c>
      <c r="AL136">
        <v>0.91</v>
      </c>
      <c r="AM136">
        <v>0</v>
      </c>
      <c r="AN136">
        <v>0</v>
      </c>
      <c r="AO136">
        <v>22.66</v>
      </c>
      <c r="AP136">
        <v>0</v>
      </c>
      <c r="AQ136">
        <v>0.05</v>
      </c>
      <c r="AR136">
        <v>0</v>
      </c>
      <c r="AS136">
        <v>0</v>
      </c>
      <c r="AT136">
        <v>70</v>
      </c>
      <c r="AU136">
        <v>10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1</v>
      </c>
      <c r="BD136" t="s">
        <v>3</v>
      </c>
      <c r="BE136" t="s">
        <v>3</v>
      </c>
      <c r="BF136" t="s">
        <v>3</v>
      </c>
      <c r="BG136" t="s">
        <v>3</v>
      </c>
      <c r="BH136">
        <v>0</v>
      </c>
      <c r="BI136">
        <v>4</v>
      </c>
      <c r="BJ136" t="s">
        <v>204</v>
      </c>
      <c r="BM136">
        <v>0</v>
      </c>
      <c r="BN136">
        <v>0</v>
      </c>
      <c r="BO136" t="s">
        <v>3</v>
      </c>
      <c r="BP136">
        <v>0</v>
      </c>
      <c r="BQ136">
        <v>1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70</v>
      </c>
      <c r="CA136">
        <v>10</v>
      </c>
      <c r="CB136" t="s">
        <v>3</v>
      </c>
      <c r="CE136">
        <v>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130"/>
        <v>793442.52</v>
      </c>
      <c r="CQ136">
        <f t="shared" si="131"/>
        <v>181.09</v>
      </c>
      <c r="CR136">
        <f>(((((ET136*199))*BB136-((EU136*199))*BS136)+AE136*BS136)*AV136)</f>
        <v>0</v>
      </c>
      <c r="CS136">
        <f t="shared" si="132"/>
        <v>0</v>
      </c>
      <c r="CT136">
        <f t="shared" si="133"/>
        <v>4509.34</v>
      </c>
      <c r="CU136">
        <f t="shared" si="134"/>
        <v>0</v>
      </c>
      <c r="CV136">
        <f t="shared" si="135"/>
        <v>9.9500000000000011</v>
      </c>
      <c r="CW136">
        <f t="shared" si="136"/>
        <v>0</v>
      </c>
      <c r="CX136">
        <f t="shared" si="137"/>
        <v>0</v>
      </c>
      <c r="CY136">
        <f t="shared" si="138"/>
        <v>533966.27899999998</v>
      </c>
      <c r="CZ136">
        <f t="shared" si="139"/>
        <v>76280.896999999997</v>
      </c>
      <c r="DC136" t="s">
        <v>3</v>
      </c>
      <c r="DD136" t="s">
        <v>205</v>
      </c>
      <c r="DE136" t="s">
        <v>205</v>
      </c>
      <c r="DF136" t="s">
        <v>205</v>
      </c>
      <c r="DG136" t="s">
        <v>205</v>
      </c>
      <c r="DH136" t="s">
        <v>3</v>
      </c>
      <c r="DI136" t="s">
        <v>205</v>
      </c>
      <c r="DJ136" t="s">
        <v>205</v>
      </c>
      <c r="DK136" t="s">
        <v>3</v>
      </c>
      <c r="DL136" t="s">
        <v>3</v>
      </c>
      <c r="DM136" t="s">
        <v>3</v>
      </c>
      <c r="DN136">
        <v>0</v>
      </c>
      <c r="DO136">
        <v>0</v>
      </c>
      <c r="DP136">
        <v>1</v>
      </c>
      <c r="DQ136">
        <v>1</v>
      </c>
      <c r="DU136">
        <v>1005</v>
      </c>
      <c r="DV136" t="s">
        <v>29</v>
      </c>
      <c r="DW136" t="s">
        <v>29</v>
      </c>
      <c r="DX136">
        <v>100</v>
      </c>
      <c r="DZ136" t="s">
        <v>3</v>
      </c>
      <c r="EA136" t="s">
        <v>3</v>
      </c>
      <c r="EB136" t="s">
        <v>3</v>
      </c>
      <c r="EC136" t="s">
        <v>3</v>
      </c>
      <c r="EE136">
        <v>80196140</v>
      </c>
      <c r="EF136">
        <v>1</v>
      </c>
      <c r="EG136" t="s">
        <v>23</v>
      </c>
      <c r="EH136">
        <v>0</v>
      </c>
      <c r="EI136" t="s">
        <v>3</v>
      </c>
      <c r="EJ136">
        <v>4</v>
      </c>
      <c r="EK136">
        <v>0</v>
      </c>
      <c r="EL136" t="s">
        <v>24</v>
      </c>
      <c r="EM136" t="s">
        <v>25</v>
      </c>
      <c r="EO136" t="s">
        <v>3</v>
      </c>
      <c r="EQ136">
        <v>0</v>
      </c>
      <c r="ER136">
        <v>23.57</v>
      </c>
      <c r="ES136">
        <v>0.91</v>
      </c>
      <c r="ET136">
        <v>0</v>
      </c>
      <c r="EU136">
        <v>0</v>
      </c>
      <c r="EV136">
        <v>22.66</v>
      </c>
      <c r="EW136">
        <v>0.05</v>
      </c>
      <c r="EX136">
        <v>0</v>
      </c>
      <c r="EY136">
        <v>0</v>
      </c>
      <c r="FQ136">
        <v>0</v>
      </c>
      <c r="FR136">
        <v>0</v>
      </c>
      <c r="FS136">
        <v>0</v>
      </c>
      <c r="FX136">
        <v>70</v>
      </c>
      <c r="FY136">
        <v>10</v>
      </c>
      <c r="GA136" t="s">
        <v>3</v>
      </c>
      <c r="GD136">
        <v>0</v>
      </c>
      <c r="GF136">
        <v>1005512256</v>
      </c>
      <c r="GG136">
        <v>2</v>
      </c>
      <c r="GH136">
        <v>1</v>
      </c>
      <c r="GI136">
        <v>-2</v>
      </c>
      <c r="GJ136">
        <v>0</v>
      </c>
      <c r="GK136">
        <f>ROUND(R136*(R12)/100,2)</f>
        <v>0</v>
      </c>
      <c r="GL136">
        <f t="shared" si="140"/>
        <v>0</v>
      </c>
      <c r="GM136">
        <f t="shared" si="141"/>
        <v>1403689.7</v>
      </c>
      <c r="GN136">
        <f t="shared" si="142"/>
        <v>0</v>
      </c>
      <c r="GO136">
        <f t="shared" si="143"/>
        <v>0</v>
      </c>
      <c r="GP136">
        <f t="shared" si="144"/>
        <v>1403689.7</v>
      </c>
      <c r="GR136">
        <v>0</v>
      </c>
      <c r="GS136">
        <v>3</v>
      </c>
      <c r="GT136">
        <v>0</v>
      </c>
      <c r="GU136" t="s">
        <v>3</v>
      </c>
      <c r="GV136">
        <f t="shared" si="145"/>
        <v>0</v>
      </c>
      <c r="GW136">
        <v>1</v>
      </c>
      <c r="GX136">
        <f t="shared" si="146"/>
        <v>0</v>
      </c>
      <c r="HA136">
        <v>0</v>
      </c>
      <c r="HB136">
        <v>0</v>
      </c>
      <c r="HC136">
        <f t="shared" si="147"/>
        <v>0</v>
      </c>
      <c r="HE136" t="s">
        <v>3</v>
      </c>
      <c r="HF136" t="s">
        <v>3</v>
      </c>
      <c r="HM136" t="s">
        <v>3</v>
      </c>
      <c r="HN136" t="s">
        <v>3</v>
      </c>
      <c r="HO136" t="s">
        <v>3</v>
      </c>
      <c r="HP136" t="s">
        <v>3</v>
      </c>
      <c r="HQ136" t="s">
        <v>3</v>
      </c>
      <c r="HS136">
        <v>0</v>
      </c>
      <c r="IK136">
        <v>0</v>
      </c>
    </row>
    <row r="137" spans="1:245" x14ac:dyDescent="0.25">
      <c r="A137">
        <v>17</v>
      </c>
      <c r="B137">
        <v>1</v>
      </c>
      <c r="C137">
        <f>ROW(SmtRes!A56)</f>
        <v>56</v>
      </c>
      <c r="D137">
        <f>ROW(EtalonRes!A56)</f>
        <v>56</v>
      </c>
      <c r="E137" t="s">
        <v>206</v>
      </c>
      <c r="F137" t="s">
        <v>207</v>
      </c>
      <c r="G137" t="s">
        <v>208</v>
      </c>
      <c r="H137" t="s">
        <v>29</v>
      </c>
      <c r="I137">
        <v>845.81</v>
      </c>
      <c r="J137">
        <v>0</v>
      </c>
      <c r="K137">
        <v>845.81</v>
      </c>
      <c r="O137">
        <f t="shared" si="114"/>
        <v>4007278.61</v>
      </c>
      <c r="P137">
        <f t="shared" si="115"/>
        <v>0</v>
      </c>
      <c r="Q137">
        <f t="shared" si="116"/>
        <v>206715.96</v>
      </c>
      <c r="R137">
        <f t="shared" si="117"/>
        <v>20806.93</v>
      </c>
      <c r="S137">
        <f t="shared" si="118"/>
        <v>3800562.65</v>
      </c>
      <c r="T137">
        <f t="shared" si="119"/>
        <v>0</v>
      </c>
      <c r="U137">
        <f t="shared" si="120"/>
        <v>8288.9380000000001</v>
      </c>
      <c r="V137">
        <f t="shared" si="121"/>
        <v>0</v>
      </c>
      <c r="W137">
        <f t="shared" si="122"/>
        <v>0</v>
      </c>
      <c r="X137">
        <f t="shared" si="123"/>
        <v>2660393.86</v>
      </c>
      <c r="Y137">
        <f t="shared" si="124"/>
        <v>380056.27</v>
      </c>
      <c r="AA137">
        <v>80890340</v>
      </c>
      <c r="AB137">
        <f t="shared" si="125"/>
        <v>4737.8</v>
      </c>
      <c r="AC137">
        <f>ROUND(((ES137*10)),6)</f>
        <v>0</v>
      </c>
      <c r="AD137">
        <f>ROUND(((((ET137*10))-((EU137*10)))+AE137),6)</f>
        <v>244.4</v>
      </c>
      <c r="AE137">
        <f>ROUND(((EU137*10)),6)</f>
        <v>24.6</v>
      </c>
      <c r="AF137">
        <f>ROUND(((EV137*10)),6)</f>
        <v>4493.3999999999996</v>
      </c>
      <c r="AG137">
        <f t="shared" si="127"/>
        <v>0</v>
      </c>
      <c r="AH137">
        <f>((EW137*10))</f>
        <v>9.8000000000000007</v>
      </c>
      <c r="AI137">
        <f>((EX137*10))</f>
        <v>0</v>
      </c>
      <c r="AJ137">
        <f t="shared" si="129"/>
        <v>0</v>
      </c>
      <c r="AK137">
        <v>473.78</v>
      </c>
      <c r="AL137">
        <v>0</v>
      </c>
      <c r="AM137">
        <v>24.44</v>
      </c>
      <c r="AN137">
        <v>2.46</v>
      </c>
      <c r="AO137">
        <v>449.34</v>
      </c>
      <c r="AP137">
        <v>0</v>
      </c>
      <c r="AQ137">
        <v>0.98</v>
      </c>
      <c r="AR137">
        <v>0</v>
      </c>
      <c r="AS137">
        <v>0</v>
      </c>
      <c r="AT137">
        <v>70</v>
      </c>
      <c r="AU137">
        <v>10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3</v>
      </c>
      <c r="BE137" t="s">
        <v>3</v>
      </c>
      <c r="BF137" t="s">
        <v>3</v>
      </c>
      <c r="BG137" t="s">
        <v>3</v>
      </c>
      <c r="BH137">
        <v>0</v>
      </c>
      <c r="BI137">
        <v>4</v>
      </c>
      <c r="BJ137" t="s">
        <v>209</v>
      </c>
      <c r="BM137">
        <v>0</v>
      </c>
      <c r="BN137">
        <v>0</v>
      </c>
      <c r="BO137" t="s">
        <v>3</v>
      </c>
      <c r="BP137">
        <v>0</v>
      </c>
      <c r="BQ137">
        <v>1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70</v>
      </c>
      <c r="CA137">
        <v>10</v>
      </c>
      <c r="CB137" t="s">
        <v>3</v>
      </c>
      <c r="CE137">
        <v>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130"/>
        <v>4007278.61</v>
      </c>
      <c r="CQ137">
        <f t="shared" si="131"/>
        <v>0</v>
      </c>
      <c r="CR137">
        <f>(((((ET137*10))*BB137-((EU137*10))*BS137)+AE137*BS137)*AV137)</f>
        <v>244.4</v>
      </c>
      <c r="CS137">
        <f t="shared" si="132"/>
        <v>24.6</v>
      </c>
      <c r="CT137">
        <f t="shared" si="133"/>
        <v>4493.3999999999996</v>
      </c>
      <c r="CU137">
        <f t="shared" si="134"/>
        <v>0</v>
      </c>
      <c r="CV137">
        <f t="shared" si="135"/>
        <v>9.8000000000000007</v>
      </c>
      <c r="CW137">
        <f t="shared" si="136"/>
        <v>0</v>
      </c>
      <c r="CX137">
        <f t="shared" si="137"/>
        <v>0</v>
      </c>
      <c r="CY137">
        <f t="shared" si="138"/>
        <v>2660393.855</v>
      </c>
      <c r="CZ137">
        <f t="shared" si="139"/>
        <v>380056.26500000001</v>
      </c>
      <c r="DC137" t="s">
        <v>3</v>
      </c>
      <c r="DD137" t="s">
        <v>161</v>
      </c>
      <c r="DE137" t="s">
        <v>161</v>
      </c>
      <c r="DF137" t="s">
        <v>161</v>
      </c>
      <c r="DG137" t="s">
        <v>161</v>
      </c>
      <c r="DH137" t="s">
        <v>3</v>
      </c>
      <c r="DI137" t="s">
        <v>161</v>
      </c>
      <c r="DJ137" t="s">
        <v>161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1005</v>
      </c>
      <c r="DV137" t="s">
        <v>29</v>
      </c>
      <c r="DW137" t="s">
        <v>29</v>
      </c>
      <c r="DX137">
        <v>100</v>
      </c>
      <c r="DZ137" t="s">
        <v>3</v>
      </c>
      <c r="EA137" t="s">
        <v>3</v>
      </c>
      <c r="EB137" t="s">
        <v>3</v>
      </c>
      <c r="EC137" t="s">
        <v>3</v>
      </c>
      <c r="EE137">
        <v>80196140</v>
      </c>
      <c r="EF137">
        <v>1</v>
      </c>
      <c r="EG137" t="s">
        <v>23</v>
      </c>
      <c r="EH137">
        <v>0</v>
      </c>
      <c r="EI137" t="s">
        <v>3</v>
      </c>
      <c r="EJ137">
        <v>4</v>
      </c>
      <c r="EK137">
        <v>0</v>
      </c>
      <c r="EL137" t="s">
        <v>24</v>
      </c>
      <c r="EM137" t="s">
        <v>25</v>
      </c>
      <c r="EO137" t="s">
        <v>3</v>
      </c>
      <c r="EQ137">
        <v>0</v>
      </c>
      <c r="ER137">
        <v>473.78</v>
      </c>
      <c r="ES137">
        <v>0</v>
      </c>
      <c r="ET137">
        <v>24.44</v>
      </c>
      <c r="EU137">
        <v>2.46</v>
      </c>
      <c r="EV137">
        <v>449.34</v>
      </c>
      <c r="EW137">
        <v>0.98</v>
      </c>
      <c r="EX137">
        <v>0</v>
      </c>
      <c r="EY137">
        <v>0</v>
      </c>
      <c r="FQ137">
        <v>0</v>
      </c>
      <c r="FR137">
        <v>0</v>
      </c>
      <c r="FS137">
        <v>0</v>
      </c>
      <c r="FX137">
        <v>70</v>
      </c>
      <c r="FY137">
        <v>10</v>
      </c>
      <c r="GA137" t="s">
        <v>3</v>
      </c>
      <c r="GD137">
        <v>0</v>
      </c>
      <c r="GF137">
        <v>-1313962782</v>
      </c>
      <c r="GG137">
        <v>2</v>
      </c>
      <c r="GH137">
        <v>1</v>
      </c>
      <c r="GI137">
        <v>-2</v>
      </c>
      <c r="GJ137">
        <v>0</v>
      </c>
      <c r="GK137">
        <f>ROUND(R137*(R12)/100,2)</f>
        <v>22471.48</v>
      </c>
      <c r="GL137">
        <f t="shared" si="140"/>
        <v>0</v>
      </c>
      <c r="GM137">
        <f t="shared" si="141"/>
        <v>7070200.2199999997</v>
      </c>
      <c r="GN137">
        <f t="shared" si="142"/>
        <v>0</v>
      </c>
      <c r="GO137">
        <f t="shared" si="143"/>
        <v>0</v>
      </c>
      <c r="GP137">
        <f t="shared" si="144"/>
        <v>7070200.2199999997</v>
      </c>
      <c r="GR137">
        <v>0</v>
      </c>
      <c r="GS137">
        <v>3</v>
      </c>
      <c r="GT137">
        <v>0</v>
      </c>
      <c r="GU137" t="s">
        <v>3</v>
      </c>
      <c r="GV137">
        <f t="shared" si="145"/>
        <v>0</v>
      </c>
      <c r="GW137">
        <v>1</v>
      </c>
      <c r="GX137">
        <f t="shared" si="146"/>
        <v>0</v>
      </c>
      <c r="HA137">
        <v>0</v>
      </c>
      <c r="HB137">
        <v>0</v>
      </c>
      <c r="HC137">
        <f t="shared" si="147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HS137">
        <v>0</v>
      </c>
      <c r="IK137">
        <v>0</v>
      </c>
    </row>
    <row r="138" spans="1:245" x14ac:dyDescent="0.25">
      <c r="A138">
        <v>17</v>
      </c>
      <c r="B138">
        <v>1</v>
      </c>
      <c r="C138">
        <f>ROW(SmtRes!A59)</f>
        <v>59</v>
      </c>
      <c r="D138">
        <f>ROW(EtalonRes!A59)</f>
        <v>59</v>
      </c>
      <c r="E138" t="s">
        <v>3</v>
      </c>
      <c r="F138" t="s">
        <v>210</v>
      </c>
      <c r="G138" t="s">
        <v>211</v>
      </c>
      <c r="H138" t="s">
        <v>39</v>
      </c>
      <c r="I138">
        <v>422.91</v>
      </c>
      <c r="J138">
        <v>0</v>
      </c>
      <c r="K138">
        <v>422.91</v>
      </c>
      <c r="O138">
        <f t="shared" si="114"/>
        <v>4806245.28</v>
      </c>
      <c r="P138">
        <f t="shared" si="115"/>
        <v>231796.97</v>
      </c>
      <c r="Q138">
        <f t="shared" si="116"/>
        <v>3803102.76</v>
      </c>
      <c r="R138">
        <f t="shared" si="117"/>
        <v>1312966.3899999999</v>
      </c>
      <c r="S138">
        <f t="shared" si="118"/>
        <v>771345.55</v>
      </c>
      <c r="T138">
        <f t="shared" si="119"/>
        <v>0</v>
      </c>
      <c r="U138">
        <f t="shared" si="120"/>
        <v>2368.2960000000003</v>
      </c>
      <c r="V138">
        <f t="shared" si="121"/>
        <v>0</v>
      </c>
      <c r="W138">
        <f t="shared" si="122"/>
        <v>0</v>
      </c>
      <c r="X138">
        <f t="shared" si="123"/>
        <v>539941.89</v>
      </c>
      <c r="Y138">
        <f t="shared" si="124"/>
        <v>77134.559999999998</v>
      </c>
      <c r="AA138">
        <v>-1</v>
      </c>
      <c r="AB138">
        <f t="shared" si="125"/>
        <v>11364.7</v>
      </c>
      <c r="AC138">
        <f>ROUND(((ES138*10)),6)</f>
        <v>548.1</v>
      </c>
      <c r="AD138">
        <f>ROUND(((((ET138*10))-((EU138*10)))+AE138),6)</f>
        <v>8992.7000000000007</v>
      </c>
      <c r="AE138">
        <f>ROUND(((EU138*10)),6)</f>
        <v>3104.6</v>
      </c>
      <c r="AF138">
        <f>ROUND(((EV138*10)),6)</f>
        <v>1823.9</v>
      </c>
      <c r="AG138">
        <f t="shared" si="127"/>
        <v>0</v>
      </c>
      <c r="AH138">
        <f>((EW138*10))</f>
        <v>5.6000000000000005</v>
      </c>
      <c r="AI138">
        <f>((EX138*10))</f>
        <v>0</v>
      </c>
      <c r="AJ138">
        <f t="shared" si="129"/>
        <v>0</v>
      </c>
      <c r="AK138">
        <v>1136.47</v>
      </c>
      <c r="AL138">
        <v>54.81</v>
      </c>
      <c r="AM138">
        <v>899.27</v>
      </c>
      <c r="AN138">
        <v>310.45999999999998</v>
      </c>
      <c r="AO138">
        <v>182.39</v>
      </c>
      <c r="AP138">
        <v>0</v>
      </c>
      <c r="AQ138">
        <v>0.56000000000000005</v>
      </c>
      <c r="AR138">
        <v>0</v>
      </c>
      <c r="AS138">
        <v>0</v>
      </c>
      <c r="AT138">
        <v>70</v>
      </c>
      <c r="AU138">
        <v>10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1</v>
      </c>
      <c r="BD138" t="s">
        <v>3</v>
      </c>
      <c r="BE138" t="s">
        <v>3</v>
      </c>
      <c r="BF138" t="s">
        <v>3</v>
      </c>
      <c r="BG138" t="s">
        <v>3</v>
      </c>
      <c r="BH138">
        <v>0</v>
      </c>
      <c r="BI138">
        <v>4</v>
      </c>
      <c r="BJ138" t="s">
        <v>212</v>
      </c>
      <c r="BM138">
        <v>0</v>
      </c>
      <c r="BN138">
        <v>0</v>
      </c>
      <c r="BO138" t="s">
        <v>3</v>
      </c>
      <c r="BP138">
        <v>0</v>
      </c>
      <c r="BQ138">
        <v>1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70</v>
      </c>
      <c r="CA138">
        <v>10</v>
      </c>
      <c r="CB138" t="s">
        <v>3</v>
      </c>
      <c r="CE138">
        <v>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130"/>
        <v>4806245.28</v>
      </c>
      <c r="CQ138">
        <f t="shared" si="131"/>
        <v>548.1</v>
      </c>
      <c r="CR138">
        <f>(((((ET138*10))*BB138-((EU138*10))*BS138)+AE138*BS138)*AV138)</f>
        <v>8992.7000000000007</v>
      </c>
      <c r="CS138">
        <f t="shared" si="132"/>
        <v>3104.6</v>
      </c>
      <c r="CT138">
        <f t="shared" si="133"/>
        <v>1823.9</v>
      </c>
      <c r="CU138">
        <f t="shared" si="134"/>
        <v>0</v>
      </c>
      <c r="CV138">
        <f t="shared" si="135"/>
        <v>5.6000000000000005</v>
      </c>
      <c r="CW138">
        <f t="shared" si="136"/>
        <v>0</v>
      </c>
      <c r="CX138">
        <f t="shared" si="137"/>
        <v>0</v>
      </c>
      <c r="CY138">
        <f t="shared" si="138"/>
        <v>539941.88500000001</v>
      </c>
      <c r="CZ138">
        <f t="shared" si="139"/>
        <v>77134.554999999993</v>
      </c>
      <c r="DC138" t="s">
        <v>3</v>
      </c>
      <c r="DD138" t="s">
        <v>161</v>
      </c>
      <c r="DE138" t="s">
        <v>161</v>
      </c>
      <c r="DF138" t="s">
        <v>161</v>
      </c>
      <c r="DG138" t="s">
        <v>161</v>
      </c>
      <c r="DH138" t="s">
        <v>3</v>
      </c>
      <c r="DI138" t="s">
        <v>161</v>
      </c>
      <c r="DJ138" t="s">
        <v>161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1007</v>
      </c>
      <c r="DV138" t="s">
        <v>39</v>
      </c>
      <c r="DW138" t="s">
        <v>39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80196140</v>
      </c>
      <c r="EF138">
        <v>1</v>
      </c>
      <c r="EG138" t="s">
        <v>23</v>
      </c>
      <c r="EH138">
        <v>0</v>
      </c>
      <c r="EI138" t="s">
        <v>3</v>
      </c>
      <c r="EJ138">
        <v>4</v>
      </c>
      <c r="EK138">
        <v>0</v>
      </c>
      <c r="EL138" t="s">
        <v>24</v>
      </c>
      <c r="EM138" t="s">
        <v>25</v>
      </c>
      <c r="EO138" t="s">
        <v>3</v>
      </c>
      <c r="EQ138">
        <v>1024</v>
      </c>
      <c r="ER138">
        <v>1136.47</v>
      </c>
      <c r="ES138">
        <v>54.81</v>
      </c>
      <c r="ET138">
        <v>899.27</v>
      </c>
      <c r="EU138">
        <v>310.45999999999998</v>
      </c>
      <c r="EV138">
        <v>182.39</v>
      </c>
      <c r="EW138">
        <v>0.56000000000000005</v>
      </c>
      <c r="EX138">
        <v>0</v>
      </c>
      <c r="EY138">
        <v>0</v>
      </c>
      <c r="FQ138">
        <v>0</v>
      </c>
      <c r="FR138">
        <v>0</v>
      </c>
      <c r="FS138">
        <v>0</v>
      </c>
      <c r="FX138">
        <v>70</v>
      </c>
      <c r="FY138">
        <v>10</v>
      </c>
      <c r="GA138" t="s">
        <v>3</v>
      </c>
      <c r="GD138">
        <v>0</v>
      </c>
      <c r="GF138">
        <v>-1576223679</v>
      </c>
      <c r="GG138">
        <v>2</v>
      </c>
      <c r="GH138">
        <v>1</v>
      </c>
      <c r="GI138">
        <v>-2</v>
      </c>
      <c r="GJ138">
        <v>0</v>
      </c>
      <c r="GK138">
        <f>ROUND(R138*(R12)/100,2)</f>
        <v>1418003.7</v>
      </c>
      <c r="GL138">
        <f t="shared" si="140"/>
        <v>0</v>
      </c>
      <c r="GM138">
        <f t="shared" si="141"/>
        <v>6841325.4299999997</v>
      </c>
      <c r="GN138">
        <f t="shared" si="142"/>
        <v>0</v>
      </c>
      <c r="GO138">
        <f t="shared" si="143"/>
        <v>0</v>
      </c>
      <c r="GP138">
        <f t="shared" si="144"/>
        <v>6841325.4299999997</v>
      </c>
      <c r="GR138">
        <v>0</v>
      </c>
      <c r="GS138">
        <v>3</v>
      </c>
      <c r="GT138">
        <v>0</v>
      </c>
      <c r="GU138" t="s">
        <v>3</v>
      </c>
      <c r="GV138">
        <f t="shared" si="145"/>
        <v>0</v>
      </c>
      <c r="GW138">
        <v>1</v>
      </c>
      <c r="GX138">
        <f t="shared" si="146"/>
        <v>0</v>
      </c>
      <c r="HA138">
        <v>0</v>
      </c>
      <c r="HB138">
        <v>0</v>
      </c>
      <c r="HC138">
        <f t="shared" si="147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HS138">
        <v>0</v>
      </c>
      <c r="IK138">
        <v>0</v>
      </c>
    </row>
    <row r="139" spans="1:245" x14ac:dyDescent="0.25">
      <c r="A139">
        <v>18</v>
      </c>
      <c r="B139">
        <v>1</v>
      </c>
      <c r="C139">
        <v>59</v>
      </c>
      <c r="E139" t="s">
        <v>3</v>
      </c>
      <c r="F139" t="s">
        <v>37</v>
      </c>
      <c r="G139" t="s">
        <v>38</v>
      </c>
      <c r="H139" t="s">
        <v>39</v>
      </c>
      <c r="I139">
        <f>I138*J139</f>
        <v>-4229.1000000000004</v>
      </c>
      <c r="J139">
        <v>-10</v>
      </c>
      <c r="K139">
        <v>-1</v>
      </c>
      <c r="O139">
        <f t="shared" si="114"/>
        <v>-231796.97</v>
      </c>
      <c r="P139">
        <f t="shared" si="115"/>
        <v>-231796.97</v>
      </c>
      <c r="Q139">
        <f t="shared" si="116"/>
        <v>0</v>
      </c>
      <c r="R139">
        <f t="shared" si="117"/>
        <v>0</v>
      </c>
      <c r="S139">
        <f t="shared" si="118"/>
        <v>0</v>
      </c>
      <c r="T139">
        <f t="shared" si="119"/>
        <v>0</v>
      </c>
      <c r="U139">
        <f t="shared" si="120"/>
        <v>0</v>
      </c>
      <c r="V139">
        <f t="shared" si="121"/>
        <v>0</v>
      </c>
      <c r="W139">
        <f t="shared" si="122"/>
        <v>0</v>
      </c>
      <c r="X139">
        <f t="shared" si="123"/>
        <v>0</v>
      </c>
      <c r="Y139">
        <f t="shared" si="124"/>
        <v>0</v>
      </c>
      <c r="AA139">
        <v>-1</v>
      </c>
      <c r="AB139">
        <f t="shared" si="125"/>
        <v>54.81</v>
      </c>
      <c r="AC139">
        <f>ROUND((ES139),6)</f>
        <v>54.81</v>
      </c>
      <c r="AD139">
        <f>ROUND((((ET139)-(EU139))+AE139),6)</f>
        <v>0</v>
      </c>
      <c r="AE139">
        <f t="shared" ref="AE139:AF142" si="148">ROUND((EU139),6)</f>
        <v>0</v>
      </c>
      <c r="AF139">
        <f t="shared" si="148"/>
        <v>0</v>
      </c>
      <c r="AG139">
        <f t="shared" si="127"/>
        <v>0</v>
      </c>
      <c r="AH139">
        <f t="shared" ref="AH139:AI142" si="149">(EW139)</f>
        <v>0</v>
      </c>
      <c r="AI139">
        <f t="shared" si="149"/>
        <v>0</v>
      </c>
      <c r="AJ139">
        <f t="shared" si="129"/>
        <v>0</v>
      </c>
      <c r="AK139">
        <v>54.81</v>
      </c>
      <c r="AL139">
        <v>54.81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70</v>
      </c>
      <c r="AU139">
        <v>10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1</v>
      </c>
      <c r="BD139" t="s">
        <v>3</v>
      </c>
      <c r="BE139" t="s">
        <v>3</v>
      </c>
      <c r="BF139" t="s">
        <v>3</v>
      </c>
      <c r="BG139" t="s">
        <v>3</v>
      </c>
      <c r="BH139">
        <v>3</v>
      </c>
      <c r="BI139">
        <v>4</v>
      </c>
      <c r="BJ139" t="s">
        <v>40</v>
      </c>
      <c r="BM139">
        <v>0</v>
      </c>
      <c r="BN139">
        <v>0</v>
      </c>
      <c r="BO139" t="s">
        <v>3</v>
      </c>
      <c r="BP139">
        <v>0</v>
      </c>
      <c r="BQ139">
        <v>1</v>
      </c>
      <c r="BR139">
        <v>1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70</v>
      </c>
      <c r="CA139">
        <v>10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130"/>
        <v>-231796.97</v>
      </c>
      <c r="CQ139">
        <f t="shared" si="131"/>
        <v>54.81</v>
      </c>
      <c r="CR139">
        <f>((((ET139)*BB139-(EU139)*BS139)+AE139*BS139)*AV139)</f>
        <v>0</v>
      </c>
      <c r="CS139">
        <f t="shared" si="132"/>
        <v>0</v>
      </c>
      <c r="CT139">
        <f t="shared" si="133"/>
        <v>0</v>
      </c>
      <c r="CU139">
        <f t="shared" si="134"/>
        <v>0</v>
      </c>
      <c r="CV139">
        <f t="shared" si="135"/>
        <v>0</v>
      </c>
      <c r="CW139">
        <f t="shared" si="136"/>
        <v>0</v>
      </c>
      <c r="CX139">
        <f t="shared" si="137"/>
        <v>0</v>
      </c>
      <c r="CY139">
        <f t="shared" si="138"/>
        <v>0</v>
      </c>
      <c r="CZ139">
        <f t="shared" si="139"/>
        <v>0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1007</v>
      </c>
      <c r="DV139" t="s">
        <v>39</v>
      </c>
      <c r="DW139" t="s">
        <v>39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80196140</v>
      </c>
      <c r="EF139">
        <v>1</v>
      </c>
      <c r="EG139" t="s">
        <v>23</v>
      </c>
      <c r="EH139">
        <v>0</v>
      </c>
      <c r="EI139" t="s">
        <v>3</v>
      </c>
      <c r="EJ139">
        <v>4</v>
      </c>
      <c r="EK139">
        <v>0</v>
      </c>
      <c r="EL139" t="s">
        <v>24</v>
      </c>
      <c r="EM139" t="s">
        <v>25</v>
      </c>
      <c r="EO139" t="s">
        <v>3</v>
      </c>
      <c r="EQ139">
        <v>1024</v>
      </c>
      <c r="ER139">
        <v>54.81</v>
      </c>
      <c r="ES139">
        <v>54.81</v>
      </c>
      <c r="ET139">
        <v>0</v>
      </c>
      <c r="EU139">
        <v>0</v>
      </c>
      <c r="EV139">
        <v>0</v>
      </c>
      <c r="EW139">
        <v>0</v>
      </c>
      <c r="EX139">
        <v>0</v>
      </c>
      <c r="FQ139">
        <v>0</v>
      </c>
      <c r="FR139">
        <v>0</v>
      </c>
      <c r="FS139">
        <v>0</v>
      </c>
      <c r="FX139">
        <v>70</v>
      </c>
      <c r="FY139">
        <v>10</v>
      </c>
      <c r="GA139" t="s">
        <v>3</v>
      </c>
      <c r="GD139">
        <v>0</v>
      </c>
      <c r="GF139">
        <v>2112060389</v>
      </c>
      <c r="GG139">
        <v>2</v>
      </c>
      <c r="GH139">
        <v>1</v>
      </c>
      <c r="GI139">
        <v>-2</v>
      </c>
      <c r="GJ139">
        <v>0</v>
      </c>
      <c r="GK139">
        <f>ROUND(R139*(R12)/100,2)</f>
        <v>0</v>
      </c>
      <c r="GL139">
        <f t="shared" si="140"/>
        <v>0</v>
      </c>
      <c r="GM139">
        <f t="shared" si="141"/>
        <v>-231796.97</v>
      </c>
      <c r="GN139">
        <f t="shared" si="142"/>
        <v>0</v>
      </c>
      <c r="GO139">
        <f t="shared" si="143"/>
        <v>0</v>
      </c>
      <c r="GP139">
        <f t="shared" si="144"/>
        <v>-231796.97</v>
      </c>
      <c r="GR139">
        <v>0</v>
      </c>
      <c r="GS139">
        <v>3</v>
      </c>
      <c r="GT139">
        <v>0</v>
      </c>
      <c r="GU139" t="s">
        <v>3</v>
      </c>
      <c r="GV139">
        <f t="shared" si="145"/>
        <v>0</v>
      </c>
      <c r="GW139">
        <v>1</v>
      </c>
      <c r="GX139">
        <f t="shared" si="146"/>
        <v>0</v>
      </c>
      <c r="HA139">
        <v>0</v>
      </c>
      <c r="HB139">
        <v>0</v>
      </c>
      <c r="HC139">
        <f t="shared" si="147"/>
        <v>0</v>
      </c>
      <c r="HE139" t="s">
        <v>3</v>
      </c>
      <c r="HF139" t="s">
        <v>3</v>
      </c>
      <c r="HM139" t="s">
        <v>161</v>
      </c>
      <c r="HN139" t="s">
        <v>3</v>
      </c>
      <c r="HO139" t="s">
        <v>3</v>
      </c>
      <c r="HP139" t="s">
        <v>3</v>
      </c>
      <c r="HQ139" t="s">
        <v>3</v>
      </c>
      <c r="HS139">
        <v>0</v>
      </c>
      <c r="IK139">
        <v>0</v>
      </c>
    </row>
    <row r="140" spans="1:245" x14ac:dyDescent="0.25">
      <c r="A140">
        <v>17</v>
      </c>
      <c r="B140">
        <v>1</v>
      </c>
      <c r="C140">
        <f>ROW(SmtRes!A61)</f>
        <v>61</v>
      </c>
      <c r="D140">
        <f>ROW(EtalonRes!A61)</f>
        <v>61</v>
      </c>
      <c r="E140" t="s">
        <v>213</v>
      </c>
      <c r="F140" t="s">
        <v>214</v>
      </c>
      <c r="G140" t="s">
        <v>215</v>
      </c>
      <c r="H140" t="s">
        <v>29</v>
      </c>
      <c r="I140">
        <f>ROUND(42290.5/100,9)</f>
        <v>422.90499999999997</v>
      </c>
      <c r="J140">
        <v>0</v>
      </c>
      <c r="K140">
        <f>ROUND(42290.5/100,9)</f>
        <v>422.90499999999997</v>
      </c>
      <c r="O140">
        <f t="shared" si="114"/>
        <v>148680.71</v>
      </c>
      <c r="P140">
        <f t="shared" si="115"/>
        <v>0</v>
      </c>
      <c r="Q140">
        <f t="shared" si="116"/>
        <v>0</v>
      </c>
      <c r="R140">
        <f t="shared" si="117"/>
        <v>0</v>
      </c>
      <c r="S140">
        <f t="shared" si="118"/>
        <v>148680.71</v>
      </c>
      <c r="T140">
        <f t="shared" si="119"/>
        <v>0</v>
      </c>
      <c r="U140">
        <f t="shared" si="120"/>
        <v>296.03349999999995</v>
      </c>
      <c r="V140">
        <f t="shared" si="121"/>
        <v>0</v>
      </c>
      <c r="W140">
        <f t="shared" si="122"/>
        <v>0</v>
      </c>
      <c r="X140">
        <f t="shared" si="123"/>
        <v>104076.5</v>
      </c>
      <c r="Y140">
        <f t="shared" si="124"/>
        <v>14868.07</v>
      </c>
      <c r="AA140">
        <v>80890340</v>
      </c>
      <c r="AB140">
        <f t="shared" si="125"/>
        <v>351.57</v>
      </c>
      <c r="AC140">
        <f>ROUND((ES140),6)</f>
        <v>0</v>
      </c>
      <c r="AD140">
        <f>ROUND((((ET140)-(EU140))+AE140),6)</f>
        <v>0</v>
      </c>
      <c r="AE140">
        <f t="shared" si="148"/>
        <v>0</v>
      </c>
      <c r="AF140">
        <f t="shared" si="148"/>
        <v>351.57</v>
      </c>
      <c r="AG140">
        <f t="shared" si="127"/>
        <v>0</v>
      </c>
      <c r="AH140">
        <f t="shared" si="149"/>
        <v>0.7</v>
      </c>
      <c r="AI140">
        <f t="shared" si="149"/>
        <v>0</v>
      </c>
      <c r="AJ140">
        <f t="shared" si="129"/>
        <v>0</v>
      </c>
      <c r="AK140">
        <v>351.57</v>
      </c>
      <c r="AL140">
        <v>0</v>
      </c>
      <c r="AM140">
        <v>0</v>
      </c>
      <c r="AN140">
        <v>0</v>
      </c>
      <c r="AO140">
        <v>351.57</v>
      </c>
      <c r="AP140">
        <v>0</v>
      </c>
      <c r="AQ140">
        <v>0.7</v>
      </c>
      <c r="AR140">
        <v>0</v>
      </c>
      <c r="AS140">
        <v>0</v>
      </c>
      <c r="AT140">
        <v>70</v>
      </c>
      <c r="AU140">
        <v>10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4</v>
      </c>
      <c r="BJ140" t="s">
        <v>216</v>
      </c>
      <c r="BM140">
        <v>0</v>
      </c>
      <c r="BN140">
        <v>0</v>
      </c>
      <c r="BO140" t="s">
        <v>3</v>
      </c>
      <c r="BP140">
        <v>0</v>
      </c>
      <c r="BQ140">
        <v>1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70</v>
      </c>
      <c r="CA140">
        <v>10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130"/>
        <v>148680.71</v>
      </c>
      <c r="CQ140">
        <f t="shared" si="131"/>
        <v>0</v>
      </c>
      <c r="CR140">
        <f>((((ET140)*BB140-(EU140)*BS140)+AE140*BS140)*AV140)</f>
        <v>0</v>
      </c>
      <c r="CS140">
        <f t="shared" si="132"/>
        <v>0</v>
      </c>
      <c r="CT140">
        <f t="shared" si="133"/>
        <v>351.57</v>
      </c>
      <c r="CU140">
        <f t="shared" si="134"/>
        <v>0</v>
      </c>
      <c r="CV140">
        <f t="shared" si="135"/>
        <v>0.7</v>
      </c>
      <c r="CW140">
        <f t="shared" si="136"/>
        <v>0</v>
      </c>
      <c r="CX140">
        <f t="shared" si="137"/>
        <v>0</v>
      </c>
      <c r="CY140">
        <f t="shared" si="138"/>
        <v>104076.49699999999</v>
      </c>
      <c r="CZ140">
        <f t="shared" si="139"/>
        <v>14868.070999999998</v>
      </c>
      <c r="DC140" t="s">
        <v>3</v>
      </c>
      <c r="DD140" t="s">
        <v>3</v>
      </c>
      <c r="DE140" t="s">
        <v>3</v>
      </c>
      <c r="DF140" t="s">
        <v>3</v>
      </c>
      <c r="DG140" t="s">
        <v>3</v>
      </c>
      <c r="DH140" t="s">
        <v>3</v>
      </c>
      <c r="DI140" t="s">
        <v>3</v>
      </c>
      <c r="DJ140" t="s">
        <v>3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1005</v>
      </c>
      <c r="DV140" t="s">
        <v>29</v>
      </c>
      <c r="DW140" t="s">
        <v>29</v>
      </c>
      <c r="DX140">
        <v>100</v>
      </c>
      <c r="DZ140" t="s">
        <v>3</v>
      </c>
      <c r="EA140" t="s">
        <v>3</v>
      </c>
      <c r="EB140" t="s">
        <v>3</v>
      </c>
      <c r="EC140" t="s">
        <v>3</v>
      </c>
      <c r="EE140">
        <v>80196140</v>
      </c>
      <c r="EF140">
        <v>1</v>
      </c>
      <c r="EG140" t="s">
        <v>23</v>
      </c>
      <c r="EH140">
        <v>0</v>
      </c>
      <c r="EI140" t="s">
        <v>3</v>
      </c>
      <c r="EJ140">
        <v>4</v>
      </c>
      <c r="EK140">
        <v>0</v>
      </c>
      <c r="EL140" t="s">
        <v>24</v>
      </c>
      <c r="EM140" t="s">
        <v>25</v>
      </c>
      <c r="EO140" t="s">
        <v>3</v>
      </c>
      <c r="EQ140">
        <v>0</v>
      </c>
      <c r="ER140">
        <v>351.57</v>
      </c>
      <c r="ES140">
        <v>0</v>
      </c>
      <c r="ET140">
        <v>0</v>
      </c>
      <c r="EU140">
        <v>0</v>
      </c>
      <c r="EV140">
        <v>351.57</v>
      </c>
      <c r="EW140">
        <v>0.7</v>
      </c>
      <c r="EX140">
        <v>0</v>
      </c>
      <c r="EY140">
        <v>0</v>
      </c>
      <c r="FQ140">
        <v>0</v>
      </c>
      <c r="FR140">
        <v>0</v>
      </c>
      <c r="FS140">
        <v>0</v>
      </c>
      <c r="FX140">
        <v>70</v>
      </c>
      <c r="FY140">
        <v>10</v>
      </c>
      <c r="GA140" t="s">
        <v>3</v>
      </c>
      <c r="GD140">
        <v>0</v>
      </c>
      <c r="GF140">
        <v>1438564923</v>
      </c>
      <c r="GG140">
        <v>2</v>
      </c>
      <c r="GH140">
        <v>1</v>
      </c>
      <c r="GI140">
        <v>-2</v>
      </c>
      <c r="GJ140">
        <v>0</v>
      </c>
      <c r="GK140">
        <f>ROUND(R140*(R12)/100,2)</f>
        <v>0</v>
      </c>
      <c r="GL140">
        <f t="shared" si="140"/>
        <v>0</v>
      </c>
      <c r="GM140">
        <f t="shared" si="141"/>
        <v>267625.28000000003</v>
      </c>
      <c r="GN140">
        <f t="shared" si="142"/>
        <v>0</v>
      </c>
      <c r="GO140">
        <f t="shared" si="143"/>
        <v>0</v>
      </c>
      <c r="GP140">
        <f t="shared" si="144"/>
        <v>267625.28000000003</v>
      </c>
      <c r="GR140">
        <v>0</v>
      </c>
      <c r="GS140">
        <v>3</v>
      </c>
      <c r="GT140">
        <v>0</v>
      </c>
      <c r="GU140" t="s">
        <v>3</v>
      </c>
      <c r="GV140">
        <f t="shared" si="145"/>
        <v>0</v>
      </c>
      <c r="GW140">
        <v>1</v>
      </c>
      <c r="GX140">
        <f t="shared" si="146"/>
        <v>0</v>
      </c>
      <c r="HA140">
        <v>0</v>
      </c>
      <c r="HB140">
        <v>0</v>
      </c>
      <c r="HC140">
        <f t="shared" si="147"/>
        <v>0</v>
      </c>
      <c r="HE140" t="s">
        <v>3</v>
      </c>
      <c r="HF140" t="s">
        <v>3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HS140">
        <v>0</v>
      </c>
      <c r="IK140">
        <v>0</v>
      </c>
    </row>
    <row r="141" spans="1:245" x14ac:dyDescent="0.25">
      <c r="A141">
        <v>18</v>
      </c>
      <c r="B141">
        <v>1</v>
      </c>
      <c r="C141">
        <v>61</v>
      </c>
      <c r="E141" t="s">
        <v>217</v>
      </c>
      <c r="F141" t="s">
        <v>218</v>
      </c>
      <c r="G141" t="s">
        <v>219</v>
      </c>
      <c r="H141" t="s">
        <v>220</v>
      </c>
      <c r="I141">
        <f>I140*J141</f>
        <v>2114.5250000000001</v>
      </c>
      <c r="J141">
        <v>5.0000000000000009</v>
      </c>
      <c r="K141">
        <v>5</v>
      </c>
      <c r="O141">
        <f t="shared" si="114"/>
        <v>231794.23</v>
      </c>
      <c r="P141">
        <f t="shared" si="115"/>
        <v>231794.23</v>
      </c>
      <c r="Q141">
        <f t="shared" si="116"/>
        <v>0</v>
      </c>
      <c r="R141">
        <f t="shared" si="117"/>
        <v>0</v>
      </c>
      <c r="S141">
        <f t="shared" si="118"/>
        <v>0</v>
      </c>
      <c r="T141">
        <f t="shared" si="119"/>
        <v>0</v>
      </c>
      <c r="U141">
        <f t="shared" si="120"/>
        <v>0</v>
      </c>
      <c r="V141">
        <f t="shared" si="121"/>
        <v>0</v>
      </c>
      <c r="W141">
        <f t="shared" si="122"/>
        <v>0</v>
      </c>
      <c r="X141">
        <f t="shared" si="123"/>
        <v>0</v>
      </c>
      <c r="Y141">
        <f t="shared" si="124"/>
        <v>0</v>
      </c>
      <c r="AA141">
        <v>80890340</v>
      </c>
      <c r="AB141">
        <f t="shared" si="125"/>
        <v>109.62</v>
      </c>
      <c r="AC141">
        <f>ROUND((ES141),6)</f>
        <v>109.62</v>
      </c>
      <c r="AD141">
        <f>ROUND((((ET141)-(EU141))+AE141),6)</f>
        <v>0</v>
      </c>
      <c r="AE141">
        <f t="shared" si="148"/>
        <v>0</v>
      </c>
      <c r="AF141">
        <f t="shared" si="148"/>
        <v>0</v>
      </c>
      <c r="AG141">
        <f t="shared" si="127"/>
        <v>0</v>
      </c>
      <c r="AH141">
        <f t="shared" si="149"/>
        <v>0</v>
      </c>
      <c r="AI141">
        <f t="shared" si="149"/>
        <v>0</v>
      </c>
      <c r="AJ141">
        <f t="shared" si="129"/>
        <v>0</v>
      </c>
      <c r="AK141">
        <v>109.62</v>
      </c>
      <c r="AL141">
        <v>109.62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70</v>
      </c>
      <c r="AU141">
        <v>10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1</v>
      </c>
      <c r="BD141" t="s">
        <v>3</v>
      </c>
      <c r="BE141" t="s">
        <v>3</v>
      </c>
      <c r="BF141" t="s">
        <v>3</v>
      </c>
      <c r="BG141" t="s">
        <v>3</v>
      </c>
      <c r="BH141">
        <v>3</v>
      </c>
      <c r="BI141">
        <v>4</v>
      </c>
      <c r="BJ141" t="s">
        <v>221</v>
      </c>
      <c r="BM141">
        <v>0</v>
      </c>
      <c r="BN141">
        <v>0</v>
      </c>
      <c r="BO141" t="s">
        <v>3</v>
      </c>
      <c r="BP141">
        <v>0</v>
      </c>
      <c r="BQ141">
        <v>1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70</v>
      </c>
      <c r="CA141">
        <v>10</v>
      </c>
      <c r="CB141" t="s">
        <v>3</v>
      </c>
      <c r="CE141">
        <v>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130"/>
        <v>231794.23</v>
      </c>
      <c r="CQ141">
        <f t="shared" si="131"/>
        <v>109.62</v>
      </c>
      <c r="CR141">
        <f>((((ET141)*BB141-(EU141)*BS141)+AE141*BS141)*AV141)</f>
        <v>0</v>
      </c>
      <c r="CS141">
        <f t="shared" si="132"/>
        <v>0</v>
      </c>
      <c r="CT141">
        <f t="shared" si="133"/>
        <v>0</v>
      </c>
      <c r="CU141">
        <f t="shared" si="134"/>
        <v>0</v>
      </c>
      <c r="CV141">
        <f t="shared" si="135"/>
        <v>0</v>
      </c>
      <c r="CW141">
        <f t="shared" si="136"/>
        <v>0</v>
      </c>
      <c r="CX141">
        <f t="shared" si="137"/>
        <v>0</v>
      </c>
      <c r="CY141">
        <f t="shared" si="138"/>
        <v>0</v>
      </c>
      <c r="CZ141">
        <f t="shared" si="139"/>
        <v>0</v>
      </c>
      <c r="DC141" t="s">
        <v>3</v>
      </c>
      <c r="DD141" t="s">
        <v>3</v>
      </c>
      <c r="DE141" t="s">
        <v>3</v>
      </c>
      <c r="DF141" t="s">
        <v>3</v>
      </c>
      <c r="DG141" t="s">
        <v>3</v>
      </c>
      <c r="DH141" t="s">
        <v>3</v>
      </c>
      <c r="DI141" t="s">
        <v>3</v>
      </c>
      <c r="DJ141" t="s">
        <v>3</v>
      </c>
      <c r="DK141" t="s">
        <v>3</v>
      </c>
      <c r="DL141" t="s">
        <v>3</v>
      </c>
      <c r="DM141" t="s">
        <v>3</v>
      </c>
      <c r="DN141">
        <v>0</v>
      </c>
      <c r="DO141">
        <v>0</v>
      </c>
      <c r="DP141">
        <v>1</v>
      </c>
      <c r="DQ141">
        <v>1</v>
      </c>
      <c r="DU141">
        <v>1009</v>
      </c>
      <c r="DV141" t="s">
        <v>220</v>
      </c>
      <c r="DW141" t="s">
        <v>220</v>
      </c>
      <c r="DX141">
        <v>1</v>
      </c>
      <c r="DZ141" t="s">
        <v>3</v>
      </c>
      <c r="EA141" t="s">
        <v>3</v>
      </c>
      <c r="EB141" t="s">
        <v>3</v>
      </c>
      <c r="EC141" t="s">
        <v>3</v>
      </c>
      <c r="EE141">
        <v>80196140</v>
      </c>
      <c r="EF141">
        <v>1</v>
      </c>
      <c r="EG141" t="s">
        <v>23</v>
      </c>
      <c r="EH141">
        <v>0</v>
      </c>
      <c r="EI141" t="s">
        <v>3</v>
      </c>
      <c r="EJ141">
        <v>4</v>
      </c>
      <c r="EK141">
        <v>0</v>
      </c>
      <c r="EL141" t="s">
        <v>24</v>
      </c>
      <c r="EM141" t="s">
        <v>25</v>
      </c>
      <c r="EO141" t="s">
        <v>3</v>
      </c>
      <c r="EQ141">
        <v>0</v>
      </c>
      <c r="ER141">
        <v>109.62</v>
      </c>
      <c r="ES141">
        <v>109.62</v>
      </c>
      <c r="ET141">
        <v>0</v>
      </c>
      <c r="EU141">
        <v>0</v>
      </c>
      <c r="EV141">
        <v>0</v>
      </c>
      <c r="EW141">
        <v>0</v>
      </c>
      <c r="EX141">
        <v>0</v>
      </c>
      <c r="FQ141">
        <v>0</v>
      </c>
      <c r="FR141">
        <v>0</v>
      </c>
      <c r="FS141">
        <v>0</v>
      </c>
      <c r="FX141">
        <v>70</v>
      </c>
      <c r="FY141">
        <v>10</v>
      </c>
      <c r="GA141" t="s">
        <v>3</v>
      </c>
      <c r="GD141">
        <v>0</v>
      </c>
      <c r="GF141">
        <v>-606801753</v>
      </c>
      <c r="GG141">
        <v>2</v>
      </c>
      <c r="GH141">
        <v>1</v>
      </c>
      <c r="GI141">
        <v>-2</v>
      </c>
      <c r="GJ141">
        <v>0</v>
      </c>
      <c r="GK141">
        <f>ROUND(R141*(R12)/100,2)</f>
        <v>0</v>
      </c>
      <c r="GL141">
        <f t="shared" si="140"/>
        <v>0</v>
      </c>
      <c r="GM141">
        <f t="shared" si="141"/>
        <v>231794.23</v>
      </c>
      <c r="GN141">
        <f t="shared" si="142"/>
        <v>0</v>
      </c>
      <c r="GO141">
        <f t="shared" si="143"/>
        <v>0</v>
      </c>
      <c r="GP141">
        <f t="shared" si="144"/>
        <v>231794.23</v>
      </c>
      <c r="GR141">
        <v>0</v>
      </c>
      <c r="GS141">
        <v>3</v>
      </c>
      <c r="GT141">
        <v>0</v>
      </c>
      <c r="GU141" t="s">
        <v>3</v>
      </c>
      <c r="GV141">
        <f t="shared" si="145"/>
        <v>0</v>
      </c>
      <c r="GW141">
        <v>1</v>
      </c>
      <c r="GX141">
        <f t="shared" si="146"/>
        <v>0</v>
      </c>
      <c r="HA141">
        <v>0</v>
      </c>
      <c r="HB141">
        <v>0</v>
      </c>
      <c r="HC141">
        <f t="shared" si="147"/>
        <v>0</v>
      </c>
      <c r="HE141" t="s">
        <v>3</v>
      </c>
      <c r="HF141" t="s">
        <v>3</v>
      </c>
      <c r="HM141" t="s">
        <v>3</v>
      </c>
      <c r="HN141" t="s">
        <v>3</v>
      </c>
      <c r="HO141" t="s">
        <v>3</v>
      </c>
      <c r="HP141" t="s">
        <v>3</v>
      </c>
      <c r="HQ141" t="s">
        <v>3</v>
      </c>
      <c r="HS141">
        <v>0</v>
      </c>
      <c r="IK141">
        <v>0</v>
      </c>
    </row>
    <row r="142" spans="1:245" x14ac:dyDescent="0.25">
      <c r="A142">
        <v>17</v>
      </c>
      <c r="B142">
        <v>1</v>
      </c>
      <c r="C142">
        <f>ROW(SmtRes!A62)</f>
        <v>62</v>
      </c>
      <c r="D142">
        <f>ROW(EtalonRes!A62)</f>
        <v>62</v>
      </c>
      <c r="E142" t="s">
        <v>222</v>
      </c>
      <c r="F142" t="s">
        <v>223</v>
      </c>
      <c r="G142" t="s">
        <v>224</v>
      </c>
      <c r="H142" t="s">
        <v>225</v>
      </c>
      <c r="I142">
        <v>7</v>
      </c>
      <c r="J142">
        <v>0</v>
      </c>
      <c r="K142">
        <v>7</v>
      </c>
      <c r="O142">
        <f t="shared" si="114"/>
        <v>6982.08</v>
      </c>
      <c r="P142">
        <f t="shared" si="115"/>
        <v>0</v>
      </c>
      <c r="Q142">
        <f t="shared" si="116"/>
        <v>0</v>
      </c>
      <c r="R142">
        <f t="shared" si="117"/>
        <v>0</v>
      </c>
      <c r="S142">
        <f t="shared" si="118"/>
        <v>6982.08</v>
      </c>
      <c r="T142">
        <f t="shared" si="119"/>
        <v>0</v>
      </c>
      <c r="U142">
        <f t="shared" si="120"/>
        <v>12.11</v>
      </c>
      <c r="V142">
        <f t="shared" si="121"/>
        <v>0</v>
      </c>
      <c r="W142">
        <f t="shared" si="122"/>
        <v>0</v>
      </c>
      <c r="X142">
        <f t="shared" si="123"/>
        <v>4887.46</v>
      </c>
      <c r="Y142">
        <f t="shared" si="124"/>
        <v>698.21</v>
      </c>
      <c r="AA142">
        <v>80890340</v>
      </c>
      <c r="AB142">
        <f t="shared" si="125"/>
        <v>997.44</v>
      </c>
      <c r="AC142">
        <f>ROUND((ES142),6)</f>
        <v>0</v>
      </c>
      <c r="AD142">
        <f>ROUND((((ET142)-(EU142))+AE142),6)</f>
        <v>0</v>
      </c>
      <c r="AE142">
        <f t="shared" si="148"/>
        <v>0</v>
      </c>
      <c r="AF142">
        <f t="shared" si="148"/>
        <v>997.44</v>
      </c>
      <c r="AG142">
        <f t="shared" si="127"/>
        <v>0</v>
      </c>
      <c r="AH142">
        <f t="shared" si="149"/>
        <v>1.73</v>
      </c>
      <c r="AI142">
        <f t="shared" si="149"/>
        <v>0</v>
      </c>
      <c r="AJ142">
        <f t="shared" si="129"/>
        <v>0</v>
      </c>
      <c r="AK142">
        <v>997.44</v>
      </c>
      <c r="AL142">
        <v>0</v>
      </c>
      <c r="AM142">
        <v>0</v>
      </c>
      <c r="AN142">
        <v>0</v>
      </c>
      <c r="AO142">
        <v>997.44</v>
      </c>
      <c r="AP142">
        <v>0</v>
      </c>
      <c r="AQ142">
        <v>1.73</v>
      </c>
      <c r="AR142">
        <v>0</v>
      </c>
      <c r="AS142">
        <v>0</v>
      </c>
      <c r="AT142">
        <v>70</v>
      </c>
      <c r="AU142">
        <v>10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1</v>
      </c>
      <c r="BD142" t="s">
        <v>3</v>
      </c>
      <c r="BE142" t="s">
        <v>3</v>
      </c>
      <c r="BF142" t="s">
        <v>3</v>
      </c>
      <c r="BG142" t="s">
        <v>3</v>
      </c>
      <c r="BH142">
        <v>0</v>
      </c>
      <c r="BI142">
        <v>4</v>
      </c>
      <c r="BJ142" t="s">
        <v>226</v>
      </c>
      <c r="BM142">
        <v>0</v>
      </c>
      <c r="BN142">
        <v>0</v>
      </c>
      <c r="BO142" t="s">
        <v>3</v>
      </c>
      <c r="BP142">
        <v>0</v>
      </c>
      <c r="BQ142">
        <v>1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70</v>
      </c>
      <c r="CA142">
        <v>10</v>
      </c>
      <c r="CB142" t="s">
        <v>3</v>
      </c>
      <c r="CE142">
        <v>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si="130"/>
        <v>6982.08</v>
      </c>
      <c r="CQ142">
        <f t="shared" si="131"/>
        <v>0</v>
      </c>
      <c r="CR142">
        <f>((((ET142)*BB142-(EU142)*BS142)+AE142*BS142)*AV142)</f>
        <v>0</v>
      </c>
      <c r="CS142">
        <f t="shared" si="132"/>
        <v>0</v>
      </c>
      <c r="CT142">
        <f t="shared" si="133"/>
        <v>997.44</v>
      </c>
      <c r="CU142">
        <f t="shared" si="134"/>
        <v>0</v>
      </c>
      <c r="CV142">
        <f t="shared" si="135"/>
        <v>1.73</v>
      </c>
      <c r="CW142">
        <f t="shared" si="136"/>
        <v>0</v>
      </c>
      <c r="CX142">
        <f t="shared" si="137"/>
        <v>0</v>
      </c>
      <c r="CY142">
        <f t="shared" si="138"/>
        <v>4887.4560000000001</v>
      </c>
      <c r="CZ142">
        <f t="shared" si="139"/>
        <v>698.20800000000008</v>
      </c>
      <c r="DC142" t="s">
        <v>3</v>
      </c>
      <c r="DD142" t="s">
        <v>3</v>
      </c>
      <c r="DE142" t="s">
        <v>3</v>
      </c>
      <c r="DF142" t="s">
        <v>3</v>
      </c>
      <c r="DG142" t="s">
        <v>3</v>
      </c>
      <c r="DH142" t="s">
        <v>3</v>
      </c>
      <c r="DI142" t="s">
        <v>3</v>
      </c>
      <c r="DJ142" t="s">
        <v>3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1013</v>
      </c>
      <c r="DV142" t="s">
        <v>225</v>
      </c>
      <c r="DW142" t="s">
        <v>225</v>
      </c>
      <c r="DX142">
        <v>1</v>
      </c>
      <c r="DZ142" t="s">
        <v>3</v>
      </c>
      <c r="EA142" t="s">
        <v>3</v>
      </c>
      <c r="EB142" t="s">
        <v>3</v>
      </c>
      <c r="EC142" t="s">
        <v>3</v>
      </c>
      <c r="EE142">
        <v>80196140</v>
      </c>
      <c r="EF142">
        <v>1</v>
      </c>
      <c r="EG142" t="s">
        <v>23</v>
      </c>
      <c r="EH142">
        <v>0</v>
      </c>
      <c r="EI142" t="s">
        <v>3</v>
      </c>
      <c r="EJ142">
        <v>4</v>
      </c>
      <c r="EK142">
        <v>0</v>
      </c>
      <c r="EL142" t="s">
        <v>24</v>
      </c>
      <c r="EM142" t="s">
        <v>25</v>
      </c>
      <c r="EO142" t="s">
        <v>3</v>
      </c>
      <c r="EQ142">
        <v>0</v>
      </c>
      <c r="ER142">
        <v>997.44</v>
      </c>
      <c r="ES142">
        <v>0</v>
      </c>
      <c r="ET142">
        <v>0</v>
      </c>
      <c r="EU142">
        <v>0</v>
      </c>
      <c r="EV142">
        <v>997.44</v>
      </c>
      <c r="EW142">
        <v>1.73</v>
      </c>
      <c r="EX142">
        <v>0</v>
      </c>
      <c r="EY142">
        <v>0</v>
      </c>
      <c r="FQ142">
        <v>0</v>
      </c>
      <c r="FR142">
        <v>0</v>
      </c>
      <c r="FS142">
        <v>0</v>
      </c>
      <c r="FX142">
        <v>70</v>
      </c>
      <c r="FY142">
        <v>10</v>
      </c>
      <c r="GA142" t="s">
        <v>3</v>
      </c>
      <c r="GD142">
        <v>0</v>
      </c>
      <c r="GF142">
        <v>218444360</v>
      </c>
      <c r="GG142">
        <v>2</v>
      </c>
      <c r="GH142">
        <v>1</v>
      </c>
      <c r="GI142">
        <v>-2</v>
      </c>
      <c r="GJ142">
        <v>0</v>
      </c>
      <c r="GK142">
        <f>ROUND(R142*(R12)/100,2)</f>
        <v>0</v>
      </c>
      <c r="GL142">
        <f t="shared" si="140"/>
        <v>0</v>
      </c>
      <c r="GM142">
        <f t="shared" si="141"/>
        <v>12567.75</v>
      </c>
      <c r="GN142">
        <f t="shared" si="142"/>
        <v>0</v>
      </c>
      <c r="GO142">
        <f t="shared" si="143"/>
        <v>0</v>
      </c>
      <c r="GP142">
        <f t="shared" si="144"/>
        <v>12567.75</v>
      </c>
      <c r="GR142">
        <v>0</v>
      </c>
      <c r="GS142">
        <v>3</v>
      </c>
      <c r="GT142">
        <v>0</v>
      </c>
      <c r="GU142" t="s">
        <v>3</v>
      </c>
      <c r="GV142">
        <f t="shared" si="145"/>
        <v>0</v>
      </c>
      <c r="GW142">
        <v>1</v>
      </c>
      <c r="GX142">
        <f t="shared" si="146"/>
        <v>0</v>
      </c>
      <c r="HA142">
        <v>0</v>
      </c>
      <c r="HB142">
        <v>0</v>
      </c>
      <c r="HC142">
        <f t="shared" si="147"/>
        <v>0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HS142">
        <v>0</v>
      </c>
      <c r="IK142">
        <v>0</v>
      </c>
    </row>
    <row r="143" spans="1:245" x14ac:dyDescent="0.25">
      <c r="A143">
        <v>17</v>
      </c>
      <c r="B143">
        <v>1</v>
      </c>
      <c r="C143">
        <f>ROW(SmtRes!A65)</f>
        <v>65</v>
      </c>
      <c r="D143">
        <f>ROW(EtalonRes!A65)</f>
        <v>65</v>
      </c>
      <c r="E143" t="s">
        <v>227</v>
      </c>
      <c r="F143" t="s">
        <v>210</v>
      </c>
      <c r="G143" t="s">
        <v>228</v>
      </c>
      <c r="H143" t="s">
        <v>39</v>
      </c>
      <c r="I143">
        <v>14</v>
      </c>
      <c r="J143">
        <v>0</v>
      </c>
      <c r="K143">
        <v>14</v>
      </c>
      <c r="O143">
        <f t="shared" si="114"/>
        <v>318211.59999999998</v>
      </c>
      <c r="P143">
        <f t="shared" si="115"/>
        <v>15346.8</v>
      </c>
      <c r="Q143">
        <f t="shared" si="116"/>
        <v>251795.6</v>
      </c>
      <c r="R143">
        <f t="shared" si="117"/>
        <v>86928.8</v>
      </c>
      <c r="S143">
        <f t="shared" si="118"/>
        <v>51069.2</v>
      </c>
      <c r="T143">
        <f t="shared" si="119"/>
        <v>0</v>
      </c>
      <c r="U143">
        <f t="shared" si="120"/>
        <v>156.80000000000001</v>
      </c>
      <c r="V143">
        <f t="shared" si="121"/>
        <v>0</v>
      </c>
      <c r="W143">
        <f t="shared" si="122"/>
        <v>0</v>
      </c>
      <c r="X143">
        <f t="shared" si="123"/>
        <v>35748.44</v>
      </c>
      <c r="Y143">
        <f t="shared" si="124"/>
        <v>5106.92</v>
      </c>
      <c r="AA143">
        <v>80890340</v>
      </c>
      <c r="AB143">
        <f t="shared" si="125"/>
        <v>22729.4</v>
      </c>
      <c r="AC143">
        <f>ROUND(((ES143*20)),6)</f>
        <v>1096.2</v>
      </c>
      <c r="AD143">
        <f>ROUND(((((ET143*20))-((EU143*20)))+AE143),6)</f>
        <v>17985.400000000001</v>
      </c>
      <c r="AE143">
        <f>ROUND(((EU143*20)),6)</f>
        <v>6209.2</v>
      </c>
      <c r="AF143">
        <f>ROUND(((EV143*20)),6)</f>
        <v>3647.8</v>
      </c>
      <c r="AG143">
        <f t="shared" si="127"/>
        <v>0</v>
      </c>
      <c r="AH143">
        <f>((EW143*20))</f>
        <v>11.200000000000001</v>
      </c>
      <c r="AI143">
        <f>((EX143*20))</f>
        <v>0</v>
      </c>
      <c r="AJ143">
        <f t="shared" si="129"/>
        <v>0</v>
      </c>
      <c r="AK143">
        <v>1136.47</v>
      </c>
      <c r="AL143">
        <v>54.81</v>
      </c>
      <c r="AM143">
        <v>899.27</v>
      </c>
      <c r="AN143">
        <v>310.45999999999998</v>
      </c>
      <c r="AO143">
        <v>182.39</v>
      </c>
      <c r="AP143">
        <v>0</v>
      </c>
      <c r="AQ143">
        <v>0.56000000000000005</v>
      </c>
      <c r="AR143">
        <v>0</v>
      </c>
      <c r="AS143">
        <v>0</v>
      </c>
      <c r="AT143">
        <v>70</v>
      </c>
      <c r="AU143">
        <v>10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4</v>
      </c>
      <c r="BJ143" t="s">
        <v>212</v>
      </c>
      <c r="BM143">
        <v>0</v>
      </c>
      <c r="BN143">
        <v>0</v>
      </c>
      <c r="BO143" t="s">
        <v>3</v>
      </c>
      <c r="BP143">
        <v>0</v>
      </c>
      <c r="BQ143">
        <v>1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70</v>
      </c>
      <c r="CA143">
        <v>10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si="130"/>
        <v>318211.60000000003</v>
      </c>
      <c r="CQ143">
        <f t="shared" si="131"/>
        <v>1096.2</v>
      </c>
      <c r="CR143">
        <f>(((((ET143*20))*BB143-((EU143*20))*BS143)+AE143*BS143)*AV143)</f>
        <v>17985.400000000001</v>
      </c>
      <c r="CS143">
        <f t="shared" si="132"/>
        <v>6209.2</v>
      </c>
      <c r="CT143">
        <f t="shared" si="133"/>
        <v>3647.8</v>
      </c>
      <c r="CU143">
        <f t="shared" si="134"/>
        <v>0</v>
      </c>
      <c r="CV143">
        <f t="shared" si="135"/>
        <v>11.200000000000001</v>
      </c>
      <c r="CW143">
        <f t="shared" si="136"/>
        <v>0</v>
      </c>
      <c r="CX143">
        <f t="shared" si="137"/>
        <v>0</v>
      </c>
      <c r="CY143">
        <f t="shared" si="138"/>
        <v>35748.44</v>
      </c>
      <c r="CZ143">
        <f t="shared" si="139"/>
        <v>5106.92</v>
      </c>
      <c r="DC143" t="s">
        <v>3</v>
      </c>
      <c r="DD143" t="s">
        <v>66</v>
      </c>
      <c r="DE143" t="s">
        <v>66</v>
      </c>
      <c r="DF143" t="s">
        <v>66</v>
      </c>
      <c r="DG143" t="s">
        <v>66</v>
      </c>
      <c r="DH143" t="s">
        <v>3</v>
      </c>
      <c r="DI143" t="s">
        <v>66</v>
      </c>
      <c r="DJ143" t="s">
        <v>66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1007</v>
      </c>
      <c r="DV143" t="s">
        <v>39</v>
      </c>
      <c r="DW143" t="s">
        <v>39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80196140</v>
      </c>
      <c r="EF143">
        <v>1</v>
      </c>
      <c r="EG143" t="s">
        <v>23</v>
      </c>
      <c r="EH143">
        <v>0</v>
      </c>
      <c r="EI143" t="s">
        <v>3</v>
      </c>
      <c r="EJ143">
        <v>4</v>
      </c>
      <c r="EK143">
        <v>0</v>
      </c>
      <c r="EL143" t="s">
        <v>24</v>
      </c>
      <c r="EM143" t="s">
        <v>25</v>
      </c>
      <c r="EO143" t="s">
        <v>3</v>
      </c>
      <c r="EQ143">
        <v>0</v>
      </c>
      <c r="ER143">
        <v>1136.47</v>
      </c>
      <c r="ES143">
        <v>54.81</v>
      </c>
      <c r="ET143">
        <v>899.27</v>
      </c>
      <c r="EU143">
        <v>310.45999999999998</v>
      </c>
      <c r="EV143">
        <v>182.39</v>
      </c>
      <c r="EW143">
        <v>0.56000000000000005</v>
      </c>
      <c r="EX143">
        <v>0</v>
      </c>
      <c r="EY143">
        <v>0</v>
      </c>
      <c r="FQ143">
        <v>0</v>
      </c>
      <c r="FR143">
        <v>0</v>
      </c>
      <c r="FS143">
        <v>0</v>
      </c>
      <c r="FX143">
        <v>70</v>
      </c>
      <c r="FY143">
        <v>10</v>
      </c>
      <c r="GA143" t="s">
        <v>3</v>
      </c>
      <c r="GD143">
        <v>0</v>
      </c>
      <c r="GF143">
        <v>203351462</v>
      </c>
      <c r="GG143">
        <v>2</v>
      </c>
      <c r="GH143">
        <v>1</v>
      </c>
      <c r="GI143">
        <v>-2</v>
      </c>
      <c r="GJ143">
        <v>0</v>
      </c>
      <c r="GK143">
        <f>ROUND(R143*(R12)/100,2)</f>
        <v>93883.1</v>
      </c>
      <c r="GL143">
        <f t="shared" si="140"/>
        <v>0</v>
      </c>
      <c r="GM143">
        <f t="shared" si="141"/>
        <v>452950.06</v>
      </c>
      <c r="GN143">
        <f t="shared" si="142"/>
        <v>0</v>
      </c>
      <c r="GO143">
        <f t="shared" si="143"/>
        <v>0</v>
      </c>
      <c r="GP143">
        <f t="shared" si="144"/>
        <v>452950.06</v>
      </c>
      <c r="GR143">
        <v>0</v>
      </c>
      <c r="GS143">
        <v>3</v>
      </c>
      <c r="GT143">
        <v>0</v>
      </c>
      <c r="GU143" t="s">
        <v>3</v>
      </c>
      <c r="GV143">
        <f t="shared" si="145"/>
        <v>0</v>
      </c>
      <c r="GW143">
        <v>1</v>
      </c>
      <c r="GX143">
        <f t="shared" si="146"/>
        <v>0</v>
      </c>
      <c r="HA143">
        <v>0</v>
      </c>
      <c r="HB143">
        <v>0</v>
      </c>
      <c r="HC143">
        <f t="shared" si="147"/>
        <v>0</v>
      </c>
      <c r="HE143" t="s">
        <v>3</v>
      </c>
      <c r="HF143" t="s">
        <v>3</v>
      </c>
      <c r="HM143" t="s">
        <v>3</v>
      </c>
      <c r="HN143" t="s">
        <v>3</v>
      </c>
      <c r="HO143" t="s">
        <v>3</v>
      </c>
      <c r="HP143" t="s">
        <v>3</v>
      </c>
      <c r="HQ143" t="s">
        <v>3</v>
      </c>
      <c r="HS143">
        <v>0</v>
      </c>
      <c r="IK143">
        <v>0</v>
      </c>
    </row>
    <row r="144" spans="1:245" x14ac:dyDescent="0.25">
      <c r="A144">
        <v>18</v>
      </c>
      <c r="B144">
        <v>1</v>
      </c>
      <c r="C144">
        <v>65</v>
      </c>
      <c r="E144" t="s">
        <v>229</v>
      </c>
      <c r="F144" t="s">
        <v>37</v>
      </c>
      <c r="G144" t="s">
        <v>38</v>
      </c>
      <c r="H144" t="s">
        <v>39</v>
      </c>
      <c r="I144">
        <f>I143*J144</f>
        <v>-280</v>
      </c>
      <c r="J144">
        <v>-20</v>
      </c>
      <c r="K144">
        <v>-1</v>
      </c>
      <c r="O144">
        <f t="shared" si="114"/>
        <v>-15346.8</v>
      </c>
      <c r="P144">
        <f t="shared" si="115"/>
        <v>-15346.8</v>
      </c>
      <c r="Q144">
        <f t="shared" si="116"/>
        <v>0</v>
      </c>
      <c r="R144">
        <f t="shared" si="117"/>
        <v>0</v>
      </c>
      <c r="S144">
        <f t="shared" si="118"/>
        <v>0</v>
      </c>
      <c r="T144">
        <f t="shared" si="119"/>
        <v>0</v>
      </c>
      <c r="U144">
        <f t="shared" si="120"/>
        <v>0</v>
      </c>
      <c r="V144">
        <f t="shared" si="121"/>
        <v>0</v>
      </c>
      <c r="W144">
        <f t="shared" si="122"/>
        <v>0</v>
      </c>
      <c r="X144">
        <f t="shared" si="123"/>
        <v>0</v>
      </c>
      <c r="Y144">
        <f t="shared" si="124"/>
        <v>0</v>
      </c>
      <c r="AA144">
        <v>80890340</v>
      </c>
      <c r="AB144">
        <f t="shared" si="125"/>
        <v>54.81</v>
      </c>
      <c r="AC144">
        <f>ROUND((ES144),6)</f>
        <v>54.81</v>
      </c>
      <c r="AD144">
        <f>ROUND((((ET144)-(EU144))+AE144),6)</f>
        <v>0</v>
      </c>
      <c r="AE144">
        <f>ROUND((EU144),6)</f>
        <v>0</v>
      </c>
      <c r="AF144">
        <f>ROUND((EV144),6)</f>
        <v>0</v>
      </c>
      <c r="AG144">
        <f t="shared" si="127"/>
        <v>0</v>
      </c>
      <c r="AH144">
        <f>(EW144)</f>
        <v>0</v>
      </c>
      <c r="AI144">
        <f>(EX144)</f>
        <v>0</v>
      </c>
      <c r="AJ144">
        <f t="shared" si="129"/>
        <v>0</v>
      </c>
      <c r="AK144">
        <v>54.81</v>
      </c>
      <c r="AL144">
        <v>54.81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70</v>
      </c>
      <c r="AU144">
        <v>10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3</v>
      </c>
      <c r="BI144">
        <v>4</v>
      </c>
      <c r="BJ144" t="s">
        <v>40</v>
      </c>
      <c r="BM144">
        <v>0</v>
      </c>
      <c r="BN144">
        <v>0</v>
      </c>
      <c r="BO144" t="s">
        <v>3</v>
      </c>
      <c r="BP144">
        <v>0</v>
      </c>
      <c r="BQ144">
        <v>1</v>
      </c>
      <c r="BR144">
        <v>1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70</v>
      </c>
      <c r="CA144">
        <v>10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130"/>
        <v>-15346.8</v>
      </c>
      <c r="CQ144">
        <f t="shared" si="131"/>
        <v>54.81</v>
      </c>
      <c r="CR144">
        <f>((((ET144)*BB144-(EU144)*BS144)+AE144*BS144)*AV144)</f>
        <v>0</v>
      </c>
      <c r="CS144">
        <f t="shared" si="132"/>
        <v>0</v>
      </c>
      <c r="CT144">
        <f t="shared" si="133"/>
        <v>0</v>
      </c>
      <c r="CU144">
        <f t="shared" si="134"/>
        <v>0</v>
      </c>
      <c r="CV144">
        <f t="shared" si="135"/>
        <v>0</v>
      </c>
      <c r="CW144">
        <f t="shared" si="136"/>
        <v>0</v>
      </c>
      <c r="CX144">
        <f t="shared" si="137"/>
        <v>0</v>
      </c>
      <c r="CY144">
        <f t="shared" si="138"/>
        <v>0</v>
      </c>
      <c r="CZ144">
        <f t="shared" si="139"/>
        <v>0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1007</v>
      </c>
      <c r="DV144" t="s">
        <v>39</v>
      </c>
      <c r="DW144" t="s">
        <v>39</v>
      </c>
      <c r="DX144">
        <v>1</v>
      </c>
      <c r="DZ144" t="s">
        <v>3</v>
      </c>
      <c r="EA144" t="s">
        <v>3</v>
      </c>
      <c r="EB144" t="s">
        <v>3</v>
      </c>
      <c r="EC144" t="s">
        <v>3</v>
      </c>
      <c r="EE144">
        <v>80196140</v>
      </c>
      <c r="EF144">
        <v>1</v>
      </c>
      <c r="EG144" t="s">
        <v>23</v>
      </c>
      <c r="EH144">
        <v>0</v>
      </c>
      <c r="EI144" t="s">
        <v>3</v>
      </c>
      <c r="EJ144">
        <v>4</v>
      </c>
      <c r="EK144">
        <v>0</v>
      </c>
      <c r="EL144" t="s">
        <v>24</v>
      </c>
      <c r="EM144" t="s">
        <v>25</v>
      </c>
      <c r="EO144" t="s">
        <v>3</v>
      </c>
      <c r="EQ144">
        <v>32768</v>
      </c>
      <c r="ER144">
        <v>54.81</v>
      </c>
      <c r="ES144">
        <v>54.81</v>
      </c>
      <c r="ET144">
        <v>0</v>
      </c>
      <c r="EU144">
        <v>0</v>
      </c>
      <c r="EV144">
        <v>0</v>
      </c>
      <c r="EW144">
        <v>0</v>
      </c>
      <c r="EX144">
        <v>0</v>
      </c>
      <c r="FQ144">
        <v>0</v>
      </c>
      <c r="FR144">
        <v>0</v>
      </c>
      <c r="FS144">
        <v>0</v>
      </c>
      <c r="FX144">
        <v>70</v>
      </c>
      <c r="FY144">
        <v>10</v>
      </c>
      <c r="GA144" t="s">
        <v>3</v>
      </c>
      <c r="GD144">
        <v>0</v>
      </c>
      <c r="GF144">
        <v>2112060389</v>
      </c>
      <c r="GG144">
        <v>2</v>
      </c>
      <c r="GH144">
        <v>1</v>
      </c>
      <c r="GI144">
        <v>-2</v>
      </c>
      <c r="GJ144">
        <v>0</v>
      </c>
      <c r="GK144">
        <f>ROUND(R144*(R12)/100,2)</f>
        <v>0</v>
      </c>
      <c r="GL144">
        <f t="shared" si="140"/>
        <v>0</v>
      </c>
      <c r="GM144">
        <f t="shared" si="141"/>
        <v>-15346.8</v>
      </c>
      <c r="GN144">
        <f t="shared" si="142"/>
        <v>0</v>
      </c>
      <c r="GO144">
        <f t="shared" si="143"/>
        <v>0</v>
      </c>
      <c r="GP144">
        <f t="shared" si="144"/>
        <v>-15346.8</v>
      </c>
      <c r="GR144">
        <v>0</v>
      </c>
      <c r="GS144">
        <v>3</v>
      </c>
      <c r="GT144">
        <v>0</v>
      </c>
      <c r="GU144" t="s">
        <v>3</v>
      </c>
      <c r="GV144">
        <f t="shared" si="145"/>
        <v>0</v>
      </c>
      <c r="GW144">
        <v>1</v>
      </c>
      <c r="GX144">
        <f t="shared" si="146"/>
        <v>0</v>
      </c>
      <c r="HA144">
        <v>0</v>
      </c>
      <c r="HB144">
        <v>0</v>
      </c>
      <c r="HC144">
        <f t="shared" si="147"/>
        <v>0</v>
      </c>
      <c r="HE144" t="s">
        <v>3</v>
      </c>
      <c r="HF144" t="s">
        <v>3</v>
      </c>
      <c r="HM144" t="s">
        <v>66</v>
      </c>
      <c r="HN144" t="s">
        <v>3</v>
      </c>
      <c r="HO144" t="s">
        <v>3</v>
      </c>
      <c r="HP144" t="s">
        <v>3</v>
      </c>
      <c r="HQ144" t="s">
        <v>3</v>
      </c>
      <c r="HS144">
        <v>0</v>
      </c>
      <c r="IK144">
        <v>0</v>
      </c>
    </row>
    <row r="145" spans="1:245" x14ac:dyDescent="0.25">
      <c r="A145">
        <v>17</v>
      </c>
      <c r="B145">
        <v>1</v>
      </c>
      <c r="C145">
        <f>ROW(SmtRes!A68)</f>
        <v>68</v>
      </c>
      <c r="D145">
        <f>ROW(EtalonRes!A68)</f>
        <v>68</v>
      </c>
      <c r="E145" t="s">
        <v>230</v>
      </c>
      <c r="F145" t="s">
        <v>210</v>
      </c>
      <c r="G145" t="s">
        <v>231</v>
      </c>
      <c r="H145" t="s">
        <v>39</v>
      </c>
      <c r="I145">
        <v>17.55</v>
      </c>
      <c r="J145">
        <v>0</v>
      </c>
      <c r="K145">
        <v>17.55</v>
      </c>
      <c r="O145">
        <f t="shared" si="114"/>
        <v>398900.97</v>
      </c>
      <c r="P145">
        <f t="shared" si="115"/>
        <v>19238.310000000001</v>
      </c>
      <c r="Q145">
        <f t="shared" si="116"/>
        <v>315643.77</v>
      </c>
      <c r="R145">
        <f t="shared" si="117"/>
        <v>108971.46</v>
      </c>
      <c r="S145">
        <f t="shared" si="118"/>
        <v>64018.89</v>
      </c>
      <c r="T145">
        <f t="shared" si="119"/>
        <v>0</v>
      </c>
      <c r="U145">
        <f t="shared" si="120"/>
        <v>196.56000000000003</v>
      </c>
      <c r="V145">
        <f t="shared" si="121"/>
        <v>0</v>
      </c>
      <c r="W145">
        <f t="shared" si="122"/>
        <v>0</v>
      </c>
      <c r="X145">
        <f t="shared" si="123"/>
        <v>44813.22</v>
      </c>
      <c r="Y145">
        <f t="shared" si="124"/>
        <v>6401.89</v>
      </c>
      <c r="AA145">
        <v>80890340</v>
      </c>
      <c r="AB145">
        <f t="shared" si="125"/>
        <v>22729.4</v>
      </c>
      <c r="AC145">
        <f>ROUND(((ES145*20)),6)</f>
        <v>1096.2</v>
      </c>
      <c r="AD145">
        <f>ROUND(((((ET145*20))-((EU145*20)))+AE145),6)</f>
        <v>17985.400000000001</v>
      </c>
      <c r="AE145">
        <f>ROUND(((EU145*20)),6)</f>
        <v>6209.2</v>
      </c>
      <c r="AF145">
        <f>ROUND(((EV145*20)),6)</f>
        <v>3647.8</v>
      </c>
      <c r="AG145">
        <f t="shared" si="127"/>
        <v>0</v>
      </c>
      <c r="AH145">
        <f>((EW145*20))</f>
        <v>11.200000000000001</v>
      </c>
      <c r="AI145">
        <f>((EX145*20))</f>
        <v>0</v>
      </c>
      <c r="AJ145">
        <f t="shared" si="129"/>
        <v>0</v>
      </c>
      <c r="AK145">
        <v>1136.47</v>
      </c>
      <c r="AL145">
        <v>54.81</v>
      </c>
      <c r="AM145">
        <v>899.27</v>
      </c>
      <c r="AN145">
        <v>310.45999999999998</v>
      </c>
      <c r="AO145">
        <v>182.39</v>
      </c>
      <c r="AP145">
        <v>0</v>
      </c>
      <c r="AQ145">
        <v>0.56000000000000005</v>
      </c>
      <c r="AR145">
        <v>0</v>
      </c>
      <c r="AS145">
        <v>0</v>
      </c>
      <c r="AT145">
        <v>70</v>
      </c>
      <c r="AU145">
        <v>10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0</v>
      </c>
      <c r="BI145">
        <v>4</v>
      </c>
      <c r="BJ145" t="s">
        <v>212</v>
      </c>
      <c r="BM145">
        <v>0</v>
      </c>
      <c r="BN145">
        <v>0</v>
      </c>
      <c r="BO145" t="s">
        <v>3</v>
      </c>
      <c r="BP145">
        <v>0</v>
      </c>
      <c r="BQ145">
        <v>1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70</v>
      </c>
      <c r="CA145">
        <v>10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130"/>
        <v>398900.97000000003</v>
      </c>
      <c r="CQ145">
        <f t="shared" si="131"/>
        <v>1096.2</v>
      </c>
      <c r="CR145">
        <f>(((((ET145*20))*BB145-((EU145*20))*BS145)+AE145*BS145)*AV145)</f>
        <v>17985.400000000001</v>
      </c>
      <c r="CS145">
        <f t="shared" si="132"/>
        <v>6209.2</v>
      </c>
      <c r="CT145">
        <f t="shared" si="133"/>
        <v>3647.8</v>
      </c>
      <c r="CU145">
        <f t="shared" si="134"/>
        <v>0</v>
      </c>
      <c r="CV145">
        <f t="shared" si="135"/>
        <v>11.200000000000001</v>
      </c>
      <c r="CW145">
        <f t="shared" si="136"/>
        <v>0</v>
      </c>
      <c r="CX145">
        <f t="shared" si="137"/>
        <v>0</v>
      </c>
      <c r="CY145">
        <f t="shared" si="138"/>
        <v>44813.222999999998</v>
      </c>
      <c r="CZ145">
        <f t="shared" si="139"/>
        <v>6401.8890000000001</v>
      </c>
      <c r="DC145" t="s">
        <v>3</v>
      </c>
      <c r="DD145" t="s">
        <v>66</v>
      </c>
      <c r="DE145" t="s">
        <v>66</v>
      </c>
      <c r="DF145" t="s">
        <v>66</v>
      </c>
      <c r="DG145" t="s">
        <v>66</v>
      </c>
      <c r="DH145" t="s">
        <v>3</v>
      </c>
      <c r="DI145" t="s">
        <v>66</v>
      </c>
      <c r="DJ145" t="s">
        <v>66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1007</v>
      </c>
      <c r="DV145" t="s">
        <v>39</v>
      </c>
      <c r="DW145" t="s">
        <v>39</v>
      </c>
      <c r="DX145">
        <v>1</v>
      </c>
      <c r="DZ145" t="s">
        <v>3</v>
      </c>
      <c r="EA145" t="s">
        <v>3</v>
      </c>
      <c r="EB145" t="s">
        <v>3</v>
      </c>
      <c r="EC145" t="s">
        <v>3</v>
      </c>
      <c r="EE145">
        <v>80196140</v>
      </c>
      <c r="EF145">
        <v>1</v>
      </c>
      <c r="EG145" t="s">
        <v>23</v>
      </c>
      <c r="EH145">
        <v>0</v>
      </c>
      <c r="EI145" t="s">
        <v>3</v>
      </c>
      <c r="EJ145">
        <v>4</v>
      </c>
      <c r="EK145">
        <v>0</v>
      </c>
      <c r="EL145" t="s">
        <v>24</v>
      </c>
      <c r="EM145" t="s">
        <v>25</v>
      </c>
      <c r="EO145" t="s">
        <v>3</v>
      </c>
      <c r="EQ145">
        <v>0</v>
      </c>
      <c r="ER145">
        <v>1136.47</v>
      </c>
      <c r="ES145">
        <v>54.81</v>
      </c>
      <c r="ET145">
        <v>899.27</v>
      </c>
      <c r="EU145">
        <v>310.45999999999998</v>
      </c>
      <c r="EV145">
        <v>182.39</v>
      </c>
      <c r="EW145">
        <v>0.56000000000000005</v>
      </c>
      <c r="EX145">
        <v>0</v>
      </c>
      <c r="EY145">
        <v>0</v>
      </c>
      <c r="FQ145">
        <v>0</v>
      </c>
      <c r="FR145">
        <v>0</v>
      </c>
      <c r="FS145">
        <v>0</v>
      </c>
      <c r="FX145">
        <v>70</v>
      </c>
      <c r="FY145">
        <v>10</v>
      </c>
      <c r="GA145" t="s">
        <v>3</v>
      </c>
      <c r="GD145">
        <v>0</v>
      </c>
      <c r="GF145">
        <v>1162195431</v>
      </c>
      <c r="GG145">
        <v>2</v>
      </c>
      <c r="GH145">
        <v>1</v>
      </c>
      <c r="GI145">
        <v>-2</v>
      </c>
      <c r="GJ145">
        <v>0</v>
      </c>
      <c r="GK145">
        <f>ROUND(R145*(R12)/100,2)</f>
        <v>117689.18</v>
      </c>
      <c r="GL145">
        <f t="shared" si="140"/>
        <v>0</v>
      </c>
      <c r="GM145">
        <f t="shared" si="141"/>
        <v>567805.26</v>
      </c>
      <c r="GN145">
        <f t="shared" si="142"/>
        <v>0</v>
      </c>
      <c r="GO145">
        <f t="shared" si="143"/>
        <v>0</v>
      </c>
      <c r="GP145">
        <f t="shared" si="144"/>
        <v>567805.26</v>
      </c>
      <c r="GR145">
        <v>0</v>
      </c>
      <c r="GS145">
        <v>3</v>
      </c>
      <c r="GT145">
        <v>0</v>
      </c>
      <c r="GU145" t="s">
        <v>3</v>
      </c>
      <c r="GV145">
        <f t="shared" si="145"/>
        <v>0</v>
      </c>
      <c r="GW145">
        <v>1</v>
      </c>
      <c r="GX145">
        <f t="shared" si="146"/>
        <v>0</v>
      </c>
      <c r="HA145">
        <v>0</v>
      </c>
      <c r="HB145">
        <v>0</v>
      </c>
      <c r="HC145">
        <f t="shared" si="147"/>
        <v>0</v>
      </c>
      <c r="HE145" t="s">
        <v>3</v>
      </c>
      <c r="HF145" t="s">
        <v>3</v>
      </c>
      <c r="HM145" t="s">
        <v>3</v>
      </c>
      <c r="HN145" t="s">
        <v>3</v>
      </c>
      <c r="HO145" t="s">
        <v>3</v>
      </c>
      <c r="HP145" t="s">
        <v>3</v>
      </c>
      <c r="HQ145" t="s">
        <v>3</v>
      </c>
      <c r="HS145">
        <v>0</v>
      </c>
      <c r="IK145">
        <v>0</v>
      </c>
    </row>
    <row r="146" spans="1:245" x14ac:dyDescent="0.25">
      <c r="A146">
        <v>18</v>
      </c>
      <c r="B146">
        <v>1</v>
      </c>
      <c r="C146">
        <v>68</v>
      </c>
      <c r="E146" t="s">
        <v>232</v>
      </c>
      <c r="F146" t="s">
        <v>37</v>
      </c>
      <c r="G146" t="s">
        <v>38</v>
      </c>
      <c r="H146" t="s">
        <v>39</v>
      </c>
      <c r="I146">
        <f>I145*J146</f>
        <v>-351</v>
      </c>
      <c r="J146">
        <v>-20</v>
      </c>
      <c r="K146">
        <v>-1</v>
      </c>
      <c r="O146">
        <f t="shared" si="114"/>
        <v>-19238.310000000001</v>
      </c>
      <c r="P146">
        <f t="shared" si="115"/>
        <v>-19238.310000000001</v>
      </c>
      <c r="Q146">
        <f t="shared" si="116"/>
        <v>0</v>
      </c>
      <c r="R146">
        <f t="shared" si="117"/>
        <v>0</v>
      </c>
      <c r="S146">
        <f t="shared" si="118"/>
        <v>0</v>
      </c>
      <c r="T146">
        <f t="shared" si="119"/>
        <v>0</v>
      </c>
      <c r="U146">
        <f t="shared" si="120"/>
        <v>0</v>
      </c>
      <c r="V146">
        <f t="shared" si="121"/>
        <v>0</v>
      </c>
      <c r="W146">
        <f t="shared" si="122"/>
        <v>0</v>
      </c>
      <c r="X146">
        <f t="shared" si="123"/>
        <v>0</v>
      </c>
      <c r="Y146">
        <f t="shared" si="124"/>
        <v>0</v>
      </c>
      <c r="AA146">
        <v>80890340</v>
      </c>
      <c r="AB146">
        <f t="shared" si="125"/>
        <v>54.81</v>
      </c>
      <c r="AC146">
        <f>ROUND((ES146),6)</f>
        <v>54.81</v>
      </c>
      <c r="AD146">
        <f>ROUND((((ET146)-(EU146))+AE146),6)</f>
        <v>0</v>
      </c>
      <c r="AE146">
        <f>ROUND((EU146),6)</f>
        <v>0</v>
      </c>
      <c r="AF146">
        <f>ROUND((EV146),6)</f>
        <v>0</v>
      </c>
      <c r="AG146">
        <f t="shared" si="127"/>
        <v>0</v>
      </c>
      <c r="AH146">
        <f>(EW146)</f>
        <v>0</v>
      </c>
      <c r="AI146">
        <f>(EX146)</f>
        <v>0</v>
      </c>
      <c r="AJ146">
        <f t="shared" si="129"/>
        <v>0</v>
      </c>
      <c r="AK146">
        <v>54.81</v>
      </c>
      <c r="AL146">
        <v>54.81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70</v>
      </c>
      <c r="AU146">
        <v>10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3</v>
      </c>
      <c r="BI146">
        <v>4</v>
      </c>
      <c r="BJ146" t="s">
        <v>40</v>
      </c>
      <c r="BM146">
        <v>0</v>
      </c>
      <c r="BN146">
        <v>0</v>
      </c>
      <c r="BO146" t="s">
        <v>3</v>
      </c>
      <c r="BP146">
        <v>0</v>
      </c>
      <c r="BQ146">
        <v>1</v>
      </c>
      <c r="BR146">
        <v>1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70</v>
      </c>
      <c r="CA146">
        <v>10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130"/>
        <v>-19238.310000000001</v>
      </c>
      <c r="CQ146">
        <f t="shared" si="131"/>
        <v>54.81</v>
      </c>
      <c r="CR146">
        <f>((((ET146)*BB146-(EU146)*BS146)+AE146*BS146)*AV146)</f>
        <v>0</v>
      </c>
      <c r="CS146">
        <f t="shared" si="132"/>
        <v>0</v>
      </c>
      <c r="CT146">
        <f t="shared" si="133"/>
        <v>0</v>
      </c>
      <c r="CU146">
        <f t="shared" si="134"/>
        <v>0</v>
      </c>
      <c r="CV146">
        <f t="shared" si="135"/>
        <v>0</v>
      </c>
      <c r="CW146">
        <f t="shared" si="136"/>
        <v>0</v>
      </c>
      <c r="CX146">
        <f t="shared" si="137"/>
        <v>0</v>
      </c>
      <c r="CY146">
        <f t="shared" si="138"/>
        <v>0</v>
      </c>
      <c r="CZ146">
        <f t="shared" si="139"/>
        <v>0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1007</v>
      </c>
      <c r="DV146" t="s">
        <v>39</v>
      </c>
      <c r="DW146" t="s">
        <v>39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80196140</v>
      </c>
      <c r="EF146">
        <v>1</v>
      </c>
      <c r="EG146" t="s">
        <v>23</v>
      </c>
      <c r="EH146">
        <v>0</v>
      </c>
      <c r="EI146" t="s">
        <v>3</v>
      </c>
      <c r="EJ146">
        <v>4</v>
      </c>
      <c r="EK146">
        <v>0</v>
      </c>
      <c r="EL146" t="s">
        <v>24</v>
      </c>
      <c r="EM146" t="s">
        <v>25</v>
      </c>
      <c r="EO146" t="s">
        <v>3</v>
      </c>
      <c r="EQ146">
        <v>0</v>
      </c>
      <c r="ER146">
        <v>54.81</v>
      </c>
      <c r="ES146">
        <v>54.81</v>
      </c>
      <c r="ET146">
        <v>0</v>
      </c>
      <c r="EU146">
        <v>0</v>
      </c>
      <c r="EV146">
        <v>0</v>
      </c>
      <c r="EW146">
        <v>0</v>
      </c>
      <c r="EX146">
        <v>0</v>
      </c>
      <c r="FQ146">
        <v>0</v>
      </c>
      <c r="FR146">
        <v>0</v>
      </c>
      <c r="FS146">
        <v>0</v>
      </c>
      <c r="FX146">
        <v>70</v>
      </c>
      <c r="FY146">
        <v>10</v>
      </c>
      <c r="GA146" t="s">
        <v>3</v>
      </c>
      <c r="GD146">
        <v>0</v>
      </c>
      <c r="GF146">
        <v>2112060389</v>
      </c>
      <c r="GG146">
        <v>2</v>
      </c>
      <c r="GH146">
        <v>1</v>
      </c>
      <c r="GI146">
        <v>-2</v>
      </c>
      <c r="GJ146">
        <v>0</v>
      </c>
      <c r="GK146">
        <f>ROUND(R146*(R12)/100,2)</f>
        <v>0</v>
      </c>
      <c r="GL146">
        <f t="shared" si="140"/>
        <v>0</v>
      </c>
      <c r="GM146">
        <f t="shared" si="141"/>
        <v>-19238.310000000001</v>
      </c>
      <c r="GN146">
        <f t="shared" si="142"/>
        <v>0</v>
      </c>
      <c r="GO146">
        <f t="shared" si="143"/>
        <v>0</v>
      </c>
      <c r="GP146">
        <f t="shared" si="144"/>
        <v>-19238.310000000001</v>
      </c>
      <c r="GR146">
        <v>0</v>
      </c>
      <c r="GS146">
        <v>3</v>
      </c>
      <c r="GT146">
        <v>0</v>
      </c>
      <c r="GU146" t="s">
        <v>3</v>
      </c>
      <c r="GV146">
        <f t="shared" si="145"/>
        <v>0</v>
      </c>
      <c r="GW146">
        <v>1</v>
      </c>
      <c r="GX146">
        <f t="shared" si="146"/>
        <v>0</v>
      </c>
      <c r="HA146">
        <v>0</v>
      </c>
      <c r="HB146">
        <v>0</v>
      </c>
      <c r="HC146">
        <f t="shared" si="147"/>
        <v>0</v>
      </c>
      <c r="HE146" t="s">
        <v>3</v>
      </c>
      <c r="HF146" t="s">
        <v>3</v>
      </c>
      <c r="HM146" t="s">
        <v>66</v>
      </c>
      <c r="HN146" t="s">
        <v>3</v>
      </c>
      <c r="HO146" t="s">
        <v>3</v>
      </c>
      <c r="HP146" t="s">
        <v>3</v>
      </c>
      <c r="HQ146" t="s">
        <v>3</v>
      </c>
      <c r="HS146">
        <v>0</v>
      </c>
      <c r="IK146">
        <v>0</v>
      </c>
    </row>
    <row r="147" spans="1:245" x14ac:dyDescent="0.25">
      <c r="A147">
        <v>17</v>
      </c>
      <c r="B147">
        <v>1</v>
      </c>
      <c r="C147">
        <f>ROW(SmtRes!A69)</f>
        <v>69</v>
      </c>
      <c r="D147">
        <f>ROW(EtalonRes!A69)</f>
        <v>69</v>
      </c>
      <c r="E147" t="s">
        <v>233</v>
      </c>
      <c r="F147" t="s">
        <v>234</v>
      </c>
      <c r="G147" t="s">
        <v>235</v>
      </c>
      <c r="H147" t="s">
        <v>29</v>
      </c>
      <c r="I147">
        <v>35.1</v>
      </c>
      <c r="J147">
        <v>0</v>
      </c>
      <c r="K147">
        <v>35.1</v>
      </c>
      <c r="O147">
        <f t="shared" si="114"/>
        <v>628891.61</v>
      </c>
      <c r="P147">
        <f t="shared" si="115"/>
        <v>0</v>
      </c>
      <c r="Q147">
        <f t="shared" si="116"/>
        <v>0</v>
      </c>
      <c r="R147">
        <f t="shared" si="117"/>
        <v>0</v>
      </c>
      <c r="S147">
        <f t="shared" si="118"/>
        <v>628891.61</v>
      </c>
      <c r="T147">
        <f t="shared" si="119"/>
        <v>0</v>
      </c>
      <c r="U147">
        <f t="shared" si="120"/>
        <v>1387.854</v>
      </c>
      <c r="V147">
        <f t="shared" si="121"/>
        <v>0</v>
      </c>
      <c r="W147">
        <f t="shared" si="122"/>
        <v>0</v>
      </c>
      <c r="X147">
        <f t="shared" si="123"/>
        <v>440224.13</v>
      </c>
      <c r="Y147">
        <f t="shared" si="124"/>
        <v>62889.16</v>
      </c>
      <c r="AA147">
        <v>80890340</v>
      </c>
      <c r="AB147">
        <f t="shared" si="125"/>
        <v>17917.14</v>
      </c>
      <c r="AC147">
        <f>ROUND(((ES147*6)),6)</f>
        <v>0</v>
      </c>
      <c r="AD147">
        <f>ROUND(((((ET147*6))-((EU147*6)))+AE147),6)</f>
        <v>0</v>
      </c>
      <c r="AE147">
        <f>ROUND(((EU147*6)),6)</f>
        <v>0</v>
      </c>
      <c r="AF147">
        <f>ROUND(((EV147*6)),6)</f>
        <v>17917.14</v>
      </c>
      <c r="AG147">
        <f t="shared" si="127"/>
        <v>0</v>
      </c>
      <c r="AH147">
        <f>((EW147*6))</f>
        <v>39.54</v>
      </c>
      <c r="AI147">
        <f>((EX147*6))</f>
        <v>0</v>
      </c>
      <c r="AJ147">
        <f t="shared" si="129"/>
        <v>0</v>
      </c>
      <c r="AK147">
        <v>2986.19</v>
      </c>
      <c r="AL147">
        <v>0</v>
      </c>
      <c r="AM147">
        <v>0</v>
      </c>
      <c r="AN147">
        <v>0</v>
      </c>
      <c r="AO147">
        <v>2986.19</v>
      </c>
      <c r="AP147">
        <v>0</v>
      </c>
      <c r="AQ147">
        <v>6.59</v>
      </c>
      <c r="AR147">
        <v>0</v>
      </c>
      <c r="AS147">
        <v>0</v>
      </c>
      <c r="AT147">
        <v>70</v>
      </c>
      <c r="AU147">
        <v>10</v>
      </c>
      <c r="AV147">
        <v>1</v>
      </c>
      <c r="AW147">
        <v>1</v>
      </c>
      <c r="AZ147">
        <v>1</v>
      </c>
      <c r="BA147">
        <v>1</v>
      </c>
      <c r="BB147">
        <v>1</v>
      </c>
      <c r="BC147">
        <v>1</v>
      </c>
      <c r="BD147" t="s">
        <v>3</v>
      </c>
      <c r="BE147" t="s">
        <v>3</v>
      </c>
      <c r="BF147" t="s">
        <v>3</v>
      </c>
      <c r="BG147" t="s">
        <v>3</v>
      </c>
      <c r="BH147">
        <v>0</v>
      </c>
      <c r="BI147">
        <v>4</v>
      </c>
      <c r="BJ147" t="s">
        <v>236</v>
      </c>
      <c r="BM147">
        <v>0</v>
      </c>
      <c r="BN147">
        <v>0</v>
      </c>
      <c r="BO147" t="s">
        <v>3</v>
      </c>
      <c r="BP147">
        <v>0</v>
      </c>
      <c r="BQ147">
        <v>1</v>
      </c>
      <c r="BR147">
        <v>0</v>
      </c>
      <c r="BS147">
        <v>1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3</v>
      </c>
      <c r="BZ147">
        <v>70</v>
      </c>
      <c r="CA147">
        <v>10</v>
      </c>
      <c r="CB147" t="s">
        <v>3</v>
      </c>
      <c r="CE147">
        <v>0</v>
      </c>
      <c r="CF147">
        <v>0</v>
      </c>
      <c r="CG147">
        <v>0</v>
      </c>
      <c r="CM147">
        <v>0</v>
      </c>
      <c r="CN147" t="s">
        <v>3</v>
      </c>
      <c r="CO147">
        <v>0</v>
      </c>
      <c r="CP147">
        <f t="shared" si="130"/>
        <v>628891.61</v>
      </c>
      <c r="CQ147">
        <f t="shared" si="131"/>
        <v>0</v>
      </c>
      <c r="CR147">
        <f>(((((ET147*6))*BB147-((EU147*6))*BS147)+AE147*BS147)*AV147)</f>
        <v>0</v>
      </c>
      <c r="CS147">
        <f t="shared" si="132"/>
        <v>0</v>
      </c>
      <c r="CT147">
        <f t="shared" si="133"/>
        <v>17917.14</v>
      </c>
      <c r="CU147">
        <f t="shared" si="134"/>
        <v>0</v>
      </c>
      <c r="CV147">
        <f t="shared" si="135"/>
        <v>39.54</v>
      </c>
      <c r="CW147">
        <f t="shared" si="136"/>
        <v>0</v>
      </c>
      <c r="CX147">
        <f t="shared" si="137"/>
        <v>0</v>
      </c>
      <c r="CY147">
        <f t="shared" si="138"/>
        <v>440224.12699999998</v>
      </c>
      <c r="CZ147">
        <f t="shared" si="139"/>
        <v>62889.160999999993</v>
      </c>
      <c r="DC147" t="s">
        <v>3</v>
      </c>
      <c r="DD147" t="s">
        <v>237</v>
      </c>
      <c r="DE147" t="s">
        <v>237</v>
      </c>
      <c r="DF147" t="s">
        <v>237</v>
      </c>
      <c r="DG147" t="s">
        <v>237</v>
      </c>
      <c r="DH147" t="s">
        <v>3</v>
      </c>
      <c r="DI147" t="s">
        <v>237</v>
      </c>
      <c r="DJ147" t="s">
        <v>237</v>
      </c>
      <c r="DK147" t="s">
        <v>3</v>
      </c>
      <c r="DL147" t="s">
        <v>3</v>
      </c>
      <c r="DM147" t="s">
        <v>3</v>
      </c>
      <c r="DN147">
        <v>0</v>
      </c>
      <c r="DO147">
        <v>0</v>
      </c>
      <c r="DP147">
        <v>1</v>
      </c>
      <c r="DQ147">
        <v>1</v>
      </c>
      <c r="DU147">
        <v>1005</v>
      </c>
      <c r="DV147" t="s">
        <v>29</v>
      </c>
      <c r="DW147" t="s">
        <v>29</v>
      </c>
      <c r="DX147">
        <v>100</v>
      </c>
      <c r="DZ147" t="s">
        <v>3</v>
      </c>
      <c r="EA147" t="s">
        <v>3</v>
      </c>
      <c r="EB147" t="s">
        <v>3</v>
      </c>
      <c r="EC147" t="s">
        <v>3</v>
      </c>
      <c r="EE147">
        <v>80196140</v>
      </c>
      <c r="EF147">
        <v>1</v>
      </c>
      <c r="EG147" t="s">
        <v>23</v>
      </c>
      <c r="EH147">
        <v>0</v>
      </c>
      <c r="EI147" t="s">
        <v>3</v>
      </c>
      <c r="EJ147">
        <v>4</v>
      </c>
      <c r="EK147">
        <v>0</v>
      </c>
      <c r="EL147" t="s">
        <v>24</v>
      </c>
      <c r="EM147" t="s">
        <v>25</v>
      </c>
      <c r="EO147" t="s">
        <v>3</v>
      </c>
      <c r="EQ147">
        <v>0</v>
      </c>
      <c r="ER147">
        <v>2986.19</v>
      </c>
      <c r="ES147">
        <v>0</v>
      </c>
      <c r="ET147">
        <v>0</v>
      </c>
      <c r="EU147">
        <v>0</v>
      </c>
      <c r="EV147">
        <v>2986.19</v>
      </c>
      <c r="EW147">
        <v>6.59</v>
      </c>
      <c r="EX147">
        <v>0</v>
      </c>
      <c r="EY147">
        <v>0</v>
      </c>
      <c r="FQ147">
        <v>0</v>
      </c>
      <c r="FR147">
        <v>0</v>
      </c>
      <c r="FS147">
        <v>0</v>
      </c>
      <c r="FX147">
        <v>70</v>
      </c>
      <c r="FY147">
        <v>10</v>
      </c>
      <c r="GA147" t="s">
        <v>3</v>
      </c>
      <c r="GD147">
        <v>0</v>
      </c>
      <c r="GF147">
        <v>-831351432</v>
      </c>
      <c r="GG147">
        <v>2</v>
      </c>
      <c r="GH147">
        <v>1</v>
      </c>
      <c r="GI147">
        <v>-2</v>
      </c>
      <c r="GJ147">
        <v>0</v>
      </c>
      <c r="GK147">
        <f>ROUND(R147*(R12)/100,2)</f>
        <v>0</v>
      </c>
      <c r="GL147">
        <f t="shared" si="140"/>
        <v>0</v>
      </c>
      <c r="GM147">
        <f t="shared" si="141"/>
        <v>1132004.8999999999</v>
      </c>
      <c r="GN147">
        <f t="shared" si="142"/>
        <v>0</v>
      </c>
      <c r="GO147">
        <f t="shared" si="143"/>
        <v>0</v>
      </c>
      <c r="GP147">
        <f t="shared" si="144"/>
        <v>1132004.8999999999</v>
      </c>
      <c r="GR147">
        <v>0</v>
      </c>
      <c r="GS147">
        <v>3</v>
      </c>
      <c r="GT147">
        <v>0</v>
      </c>
      <c r="GU147" t="s">
        <v>3</v>
      </c>
      <c r="GV147">
        <f t="shared" si="145"/>
        <v>0</v>
      </c>
      <c r="GW147">
        <v>1</v>
      </c>
      <c r="GX147">
        <f t="shared" si="146"/>
        <v>0</v>
      </c>
      <c r="HA147">
        <v>0</v>
      </c>
      <c r="HB147">
        <v>0</v>
      </c>
      <c r="HC147">
        <f t="shared" si="147"/>
        <v>0</v>
      </c>
      <c r="HE147" t="s">
        <v>3</v>
      </c>
      <c r="HF147" t="s">
        <v>3</v>
      </c>
      <c r="HM147" t="s">
        <v>3</v>
      </c>
      <c r="HN147" t="s">
        <v>3</v>
      </c>
      <c r="HO147" t="s">
        <v>3</v>
      </c>
      <c r="HP147" t="s">
        <v>3</v>
      </c>
      <c r="HQ147" t="s">
        <v>3</v>
      </c>
      <c r="HS147">
        <v>0</v>
      </c>
      <c r="IK147">
        <v>0</v>
      </c>
    </row>
    <row r="148" spans="1:245" x14ac:dyDescent="0.25">
      <c r="A148">
        <v>17</v>
      </c>
      <c r="B148">
        <v>1</v>
      </c>
      <c r="C148">
        <f>ROW(SmtRes!A70)</f>
        <v>70</v>
      </c>
      <c r="D148">
        <f>ROW(EtalonRes!A70)</f>
        <v>70</v>
      </c>
      <c r="E148" t="s">
        <v>238</v>
      </c>
      <c r="F148" t="s">
        <v>239</v>
      </c>
      <c r="G148" t="s">
        <v>240</v>
      </c>
      <c r="H148" t="s">
        <v>29</v>
      </c>
      <c r="I148">
        <f>ROUND(3510/100,9)</f>
        <v>35.1</v>
      </c>
      <c r="J148">
        <v>0</v>
      </c>
      <c r="K148">
        <f>ROUND(3510/100,9)</f>
        <v>35.1</v>
      </c>
      <c r="O148">
        <f t="shared" si="114"/>
        <v>75787.570000000007</v>
      </c>
      <c r="P148">
        <f t="shared" si="115"/>
        <v>0</v>
      </c>
      <c r="Q148">
        <f t="shared" si="116"/>
        <v>0</v>
      </c>
      <c r="R148">
        <f t="shared" si="117"/>
        <v>0</v>
      </c>
      <c r="S148">
        <f t="shared" si="118"/>
        <v>75787.570000000007</v>
      </c>
      <c r="T148">
        <f t="shared" si="119"/>
        <v>0</v>
      </c>
      <c r="U148">
        <f t="shared" si="120"/>
        <v>149.52600000000001</v>
      </c>
      <c r="V148">
        <f t="shared" si="121"/>
        <v>0</v>
      </c>
      <c r="W148">
        <f t="shared" si="122"/>
        <v>0</v>
      </c>
      <c r="X148">
        <f t="shared" si="123"/>
        <v>53051.3</v>
      </c>
      <c r="Y148">
        <f t="shared" si="124"/>
        <v>7578.76</v>
      </c>
      <c r="AA148">
        <v>80890340</v>
      </c>
      <c r="AB148">
        <f t="shared" si="125"/>
        <v>2159.19</v>
      </c>
      <c r="AC148">
        <f>ROUND(((ES148*3)),6)</f>
        <v>0</v>
      </c>
      <c r="AD148">
        <f>ROUND(((((ET148*3))-((EU148*3)))+AE148),6)</f>
        <v>0</v>
      </c>
      <c r="AE148">
        <f>ROUND(((EU148*3)),6)</f>
        <v>0</v>
      </c>
      <c r="AF148">
        <f>ROUND(((EV148*3)),6)</f>
        <v>2159.19</v>
      </c>
      <c r="AG148">
        <f t="shared" si="127"/>
        <v>0</v>
      </c>
      <c r="AH148">
        <f>((EW148*3))</f>
        <v>4.26</v>
      </c>
      <c r="AI148">
        <f>((EX148*3))</f>
        <v>0</v>
      </c>
      <c r="AJ148">
        <f t="shared" si="129"/>
        <v>0</v>
      </c>
      <c r="AK148">
        <v>719.73</v>
      </c>
      <c r="AL148">
        <v>0</v>
      </c>
      <c r="AM148">
        <v>0</v>
      </c>
      <c r="AN148">
        <v>0</v>
      </c>
      <c r="AO148">
        <v>719.73</v>
      </c>
      <c r="AP148">
        <v>0</v>
      </c>
      <c r="AQ148">
        <v>1.42</v>
      </c>
      <c r="AR148">
        <v>0</v>
      </c>
      <c r="AS148">
        <v>0</v>
      </c>
      <c r="AT148">
        <v>70</v>
      </c>
      <c r="AU148">
        <v>10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4</v>
      </c>
      <c r="BJ148" t="s">
        <v>241</v>
      </c>
      <c r="BM148">
        <v>0</v>
      </c>
      <c r="BN148">
        <v>0</v>
      </c>
      <c r="BO148" t="s">
        <v>3</v>
      </c>
      <c r="BP148">
        <v>0</v>
      </c>
      <c r="BQ148">
        <v>1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70</v>
      </c>
      <c r="CA148">
        <v>10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si="130"/>
        <v>75787.570000000007</v>
      </c>
      <c r="CQ148">
        <f t="shared" si="131"/>
        <v>0</v>
      </c>
      <c r="CR148">
        <f>(((((ET148*3))*BB148-((EU148*3))*BS148)+AE148*BS148)*AV148)</f>
        <v>0</v>
      </c>
      <c r="CS148">
        <f t="shared" si="132"/>
        <v>0</v>
      </c>
      <c r="CT148">
        <f t="shared" si="133"/>
        <v>2159.19</v>
      </c>
      <c r="CU148">
        <f t="shared" si="134"/>
        <v>0</v>
      </c>
      <c r="CV148">
        <f t="shared" si="135"/>
        <v>4.26</v>
      </c>
      <c r="CW148">
        <f t="shared" si="136"/>
        <v>0</v>
      </c>
      <c r="CX148">
        <f t="shared" si="137"/>
        <v>0</v>
      </c>
      <c r="CY148">
        <f t="shared" si="138"/>
        <v>53051.299000000006</v>
      </c>
      <c r="CZ148">
        <f t="shared" si="139"/>
        <v>7578.7570000000005</v>
      </c>
      <c r="DC148" t="s">
        <v>3</v>
      </c>
      <c r="DD148" t="s">
        <v>187</v>
      </c>
      <c r="DE148" t="s">
        <v>187</v>
      </c>
      <c r="DF148" t="s">
        <v>187</v>
      </c>
      <c r="DG148" t="s">
        <v>187</v>
      </c>
      <c r="DH148" t="s">
        <v>3</v>
      </c>
      <c r="DI148" t="s">
        <v>187</v>
      </c>
      <c r="DJ148" t="s">
        <v>187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1005</v>
      </c>
      <c r="DV148" t="s">
        <v>29</v>
      </c>
      <c r="DW148" t="s">
        <v>29</v>
      </c>
      <c r="DX148">
        <v>100</v>
      </c>
      <c r="DZ148" t="s">
        <v>3</v>
      </c>
      <c r="EA148" t="s">
        <v>3</v>
      </c>
      <c r="EB148" t="s">
        <v>3</v>
      </c>
      <c r="EC148" t="s">
        <v>3</v>
      </c>
      <c r="EE148">
        <v>80196140</v>
      </c>
      <c r="EF148">
        <v>1</v>
      </c>
      <c r="EG148" t="s">
        <v>23</v>
      </c>
      <c r="EH148">
        <v>0</v>
      </c>
      <c r="EI148" t="s">
        <v>3</v>
      </c>
      <c r="EJ148">
        <v>4</v>
      </c>
      <c r="EK148">
        <v>0</v>
      </c>
      <c r="EL148" t="s">
        <v>24</v>
      </c>
      <c r="EM148" t="s">
        <v>25</v>
      </c>
      <c r="EO148" t="s">
        <v>3</v>
      </c>
      <c r="EQ148">
        <v>0</v>
      </c>
      <c r="ER148">
        <v>719.73</v>
      </c>
      <c r="ES148">
        <v>0</v>
      </c>
      <c r="ET148">
        <v>0</v>
      </c>
      <c r="EU148">
        <v>0</v>
      </c>
      <c r="EV148">
        <v>719.73</v>
      </c>
      <c r="EW148">
        <v>1.42</v>
      </c>
      <c r="EX148">
        <v>0</v>
      </c>
      <c r="EY148">
        <v>0</v>
      </c>
      <c r="FQ148">
        <v>0</v>
      </c>
      <c r="FR148">
        <v>0</v>
      </c>
      <c r="FS148">
        <v>0</v>
      </c>
      <c r="FX148">
        <v>70</v>
      </c>
      <c r="FY148">
        <v>10</v>
      </c>
      <c r="GA148" t="s">
        <v>3</v>
      </c>
      <c r="GD148">
        <v>0</v>
      </c>
      <c r="GF148">
        <v>242064973</v>
      </c>
      <c r="GG148">
        <v>2</v>
      </c>
      <c r="GH148">
        <v>1</v>
      </c>
      <c r="GI148">
        <v>-2</v>
      </c>
      <c r="GJ148">
        <v>0</v>
      </c>
      <c r="GK148">
        <f>ROUND(R148*(R12)/100,2)</f>
        <v>0</v>
      </c>
      <c r="GL148">
        <f t="shared" si="140"/>
        <v>0</v>
      </c>
      <c r="GM148">
        <f t="shared" si="141"/>
        <v>136417.63</v>
      </c>
      <c r="GN148">
        <f t="shared" si="142"/>
        <v>0</v>
      </c>
      <c r="GO148">
        <f t="shared" si="143"/>
        <v>0</v>
      </c>
      <c r="GP148">
        <f t="shared" si="144"/>
        <v>136417.63</v>
      </c>
      <c r="GR148">
        <v>0</v>
      </c>
      <c r="GS148">
        <v>3</v>
      </c>
      <c r="GT148">
        <v>0</v>
      </c>
      <c r="GU148" t="s">
        <v>3</v>
      </c>
      <c r="GV148">
        <f t="shared" si="145"/>
        <v>0</v>
      </c>
      <c r="GW148">
        <v>1</v>
      </c>
      <c r="GX148">
        <f t="shared" si="146"/>
        <v>0</v>
      </c>
      <c r="HA148">
        <v>0</v>
      </c>
      <c r="HB148">
        <v>0</v>
      </c>
      <c r="HC148">
        <f t="shared" si="147"/>
        <v>0</v>
      </c>
      <c r="HE148" t="s">
        <v>3</v>
      </c>
      <c r="HF148" t="s">
        <v>3</v>
      </c>
      <c r="HM148" t="s">
        <v>3</v>
      </c>
      <c r="HN148" t="s">
        <v>3</v>
      </c>
      <c r="HO148" t="s">
        <v>3</v>
      </c>
      <c r="HP148" t="s">
        <v>3</v>
      </c>
      <c r="HQ148" t="s">
        <v>3</v>
      </c>
      <c r="HS148">
        <v>0</v>
      </c>
      <c r="IK148">
        <v>0</v>
      </c>
    </row>
    <row r="149" spans="1:245" x14ac:dyDescent="0.25">
      <c r="A149">
        <v>17</v>
      </c>
      <c r="B149">
        <v>1</v>
      </c>
      <c r="C149">
        <f>ROW(SmtRes!A74)</f>
        <v>74</v>
      </c>
      <c r="D149">
        <f>ROW(EtalonRes!A74)</f>
        <v>74</v>
      </c>
      <c r="E149" t="s">
        <v>242</v>
      </c>
      <c r="F149" t="s">
        <v>243</v>
      </c>
      <c r="G149" t="s">
        <v>244</v>
      </c>
      <c r="H149" t="s">
        <v>29</v>
      </c>
      <c r="I149">
        <f>ROUND(3510/100,9)</f>
        <v>35.1</v>
      </c>
      <c r="J149">
        <v>0</v>
      </c>
      <c r="K149">
        <f>ROUND(3510/100,9)</f>
        <v>35.1</v>
      </c>
      <c r="O149">
        <f t="shared" si="114"/>
        <v>9744.4599999999991</v>
      </c>
      <c r="P149">
        <f t="shared" si="115"/>
        <v>38.61</v>
      </c>
      <c r="Q149">
        <f t="shared" si="116"/>
        <v>1383.64</v>
      </c>
      <c r="R149">
        <f t="shared" si="117"/>
        <v>2.81</v>
      </c>
      <c r="S149">
        <f t="shared" si="118"/>
        <v>8322.2099999999991</v>
      </c>
      <c r="T149">
        <f t="shared" si="119"/>
        <v>0</v>
      </c>
      <c r="U149">
        <f t="shared" si="120"/>
        <v>12.635999999999999</v>
      </c>
      <c r="V149">
        <f t="shared" si="121"/>
        <v>0</v>
      </c>
      <c r="W149">
        <f t="shared" si="122"/>
        <v>0</v>
      </c>
      <c r="X149">
        <f t="shared" si="123"/>
        <v>5825.55</v>
      </c>
      <c r="Y149">
        <f t="shared" si="124"/>
        <v>832.22</v>
      </c>
      <c r="AA149">
        <v>80890340</v>
      </c>
      <c r="AB149">
        <f t="shared" si="125"/>
        <v>277.62</v>
      </c>
      <c r="AC149">
        <f>ROUND(((ES149*2)),6)</f>
        <v>1.1000000000000001</v>
      </c>
      <c r="AD149">
        <f>ROUND(((((ET149*2))-((EU149*2)))+AE149),6)</f>
        <v>39.42</v>
      </c>
      <c r="AE149">
        <f>ROUND(((EU149*2)),6)</f>
        <v>0.08</v>
      </c>
      <c r="AF149">
        <f>ROUND(((EV149*2)),6)</f>
        <v>237.1</v>
      </c>
      <c r="AG149">
        <f t="shared" si="127"/>
        <v>0</v>
      </c>
      <c r="AH149">
        <f>((EW149*2))</f>
        <v>0.36</v>
      </c>
      <c r="AI149">
        <f>((EX149*2))</f>
        <v>0</v>
      </c>
      <c r="AJ149">
        <f t="shared" si="129"/>
        <v>0</v>
      </c>
      <c r="AK149">
        <v>138.81</v>
      </c>
      <c r="AL149">
        <v>0.55000000000000004</v>
      </c>
      <c r="AM149">
        <v>19.71</v>
      </c>
      <c r="AN149">
        <v>0.04</v>
      </c>
      <c r="AO149">
        <v>118.55</v>
      </c>
      <c r="AP149">
        <v>0</v>
      </c>
      <c r="AQ149">
        <v>0.18</v>
      </c>
      <c r="AR149">
        <v>0</v>
      </c>
      <c r="AS149">
        <v>0</v>
      </c>
      <c r="AT149">
        <v>70</v>
      </c>
      <c r="AU149">
        <v>10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0</v>
      </c>
      <c r="BI149">
        <v>4</v>
      </c>
      <c r="BJ149" t="s">
        <v>245</v>
      </c>
      <c r="BM149">
        <v>0</v>
      </c>
      <c r="BN149">
        <v>0</v>
      </c>
      <c r="BO149" t="s">
        <v>3</v>
      </c>
      <c r="BP149">
        <v>0</v>
      </c>
      <c r="BQ149">
        <v>1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70</v>
      </c>
      <c r="CA149">
        <v>10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130"/>
        <v>9744.4599999999991</v>
      </c>
      <c r="CQ149">
        <f t="shared" si="131"/>
        <v>1.1000000000000001</v>
      </c>
      <c r="CR149">
        <f>(((((ET149*2))*BB149-((EU149*2))*BS149)+AE149*BS149)*AV149)</f>
        <v>39.42</v>
      </c>
      <c r="CS149">
        <f t="shared" si="132"/>
        <v>0.08</v>
      </c>
      <c r="CT149">
        <f t="shared" si="133"/>
        <v>237.1</v>
      </c>
      <c r="CU149">
        <f t="shared" si="134"/>
        <v>0</v>
      </c>
      <c r="CV149">
        <f t="shared" si="135"/>
        <v>0.36</v>
      </c>
      <c r="CW149">
        <f t="shared" si="136"/>
        <v>0</v>
      </c>
      <c r="CX149">
        <f t="shared" si="137"/>
        <v>0</v>
      </c>
      <c r="CY149">
        <f t="shared" si="138"/>
        <v>5825.5469999999996</v>
      </c>
      <c r="CZ149">
        <f t="shared" si="139"/>
        <v>832.22099999999989</v>
      </c>
      <c r="DC149" t="s">
        <v>3</v>
      </c>
      <c r="DD149" t="s">
        <v>246</v>
      </c>
      <c r="DE149" t="s">
        <v>246</v>
      </c>
      <c r="DF149" t="s">
        <v>246</v>
      </c>
      <c r="DG149" t="s">
        <v>246</v>
      </c>
      <c r="DH149" t="s">
        <v>3</v>
      </c>
      <c r="DI149" t="s">
        <v>246</v>
      </c>
      <c r="DJ149" t="s">
        <v>246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1005</v>
      </c>
      <c r="DV149" t="s">
        <v>29</v>
      </c>
      <c r="DW149" t="s">
        <v>29</v>
      </c>
      <c r="DX149">
        <v>100</v>
      </c>
      <c r="DZ149" t="s">
        <v>3</v>
      </c>
      <c r="EA149" t="s">
        <v>3</v>
      </c>
      <c r="EB149" t="s">
        <v>3</v>
      </c>
      <c r="EC149" t="s">
        <v>3</v>
      </c>
      <c r="EE149">
        <v>80196140</v>
      </c>
      <c r="EF149">
        <v>1</v>
      </c>
      <c r="EG149" t="s">
        <v>23</v>
      </c>
      <c r="EH149">
        <v>0</v>
      </c>
      <c r="EI149" t="s">
        <v>3</v>
      </c>
      <c r="EJ149">
        <v>4</v>
      </c>
      <c r="EK149">
        <v>0</v>
      </c>
      <c r="EL149" t="s">
        <v>24</v>
      </c>
      <c r="EM149" t="s">
        <v>25</v>
      </c>
      <c r="EO149" t="s">
        <v>3</v>
      </c>
      <c r="EQ149">
        <v>0</v>
      </c>
      <c r="ER149">
        <v>138.81</v>
      </c>
      <c r="ES149">
        <v>0.55000000000000004</v>
      </c>
      <c r="ET149">
        <v>19.71</v>
      </c>
      <c r="EU149">
        <v>0.04</v>
      </c>
      <c r="EV149">
        <v>118.55</v>
      </c>
      <c r="EW149">
        <v>0.18</v>
      </c>
      <c r="EX149">
        <v>0</v>
      </c>
      <c r="EY149">
        <v>0</v>
      </c>
      <c r="FQ149">
        <v>0</v>
      </c>
      <c r="FR149">
        <v>0</v>
      </c>
      <c r="FS149">
        <v>0</v>
      </c>
      <c r="FX149">
        <v>70</v>
      </c>
      <c r="FY149">
        <v>10</v>
      </c>
      <c r="GA149" t="s">
        <v>3</v>
      </c>
      <c r="GD149">
        <v>0</v>
      </c>
      <c r="GF149">
        <v>-1232621699</v>
      </c>
      <c r="GG149">
        <v>2</v>
      </c>
      <c r="GH149">
        <v>1</v>
      </c>
      <c r="GI149">
        <v>-2</v>
      </c>
      <c r="GJ149">
        <v>0</v>
      </c>
      <c r="GK149">
        <f>ROUND(R149*(R12)/100,2)</f>
        <v>3.03</v>
      </c>
      <c r="GL149">
        <f t="shared" si="140"/>
        <v>0</v>
      </c>
      <c r="GM149">
        <f t="shared" si="141"/>
        <v>16405.259999999998</v>
      </c>
      <c r="GN149">
        <f t="shared" si="142"/>
        <v>0</v>
      </c>
      <c r="GO149">
        <f t="shared" si="143"/>
        <v>0</v>
      </c>
      <c r="GP149">
        <f t="shared" si="144"/>
        <v>16405.259999999998</v>
      </c>
      <c r="GR149">
        <v>0</v>
      </c>
      <c r="GS149">
        <v>3</v>
      </c>
      <c r="GT149">
        <v>0</v>
      </c>
      <c r="GU149" t="s">
        <v>3</v>
      </c>
      <c r="GV149">
        <f t="shared" si="145"/>
        <v>0</v>
      </c>
      <c r="GW149">
        <v>1</v>
      </c>
      <c r="GX149">
        <f t="shared" si="146"/>
        <v>0</v>
      </c>
      <c r="HA149">
        <v>0</v>
      </c>
      <c r="HB149">
        <v>0</v>
      </c>
      <c r="HC149">
        <f t="shared" si="147"/>
        <v>0</v>
      </c>
      <c r="HE149" t="s">
        <v>3</v>
      </c>
      <c r="HF149" t="s">
        <v>3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HS149">
        <v>0</v>
      </c>
      <c r="IK149">
        <v>0</v>
      </c>
    </row>
    <row r="150" spans="1:245" x14ac:dyDescent="0.25">
      <c r="A150">
        <v>18</v>
      </c>
      <c r="B150">
        <v>1</v>
      </c>
      <c r="C150">
        <v>74</v>
      </c>
      <c r="E150" t="s">
        <v>247</v>
      </c>
      <c r="F150" t="s">
        <v>248</v>
      </c>
      <c r="G150" t="s">
        <v>249</v>
      </c>
      <c r="H150" t="s">
        <v>250</v>
      </c>
      <c r="I150">
        <f>I149*J150</f>
        <v>7.02</v>
      </c>
      <c r="J150">
        <v>0.19999999999999998</v>
      </c>
      <c r="K150">
        <v>0.1</v>
      </c>
      <c r="O150">
        <f t="shared" si="114"/>
        <v>6654.75</v>
      </c>
      <c r="P150">
        <f t="shared" si="115"/>
        <v>6654.75</v>
      </c>
      <c r="Q150">
        <f t="shared" si="116"/>
        <v>0</v>
      </c>
      <c r="R150">
        <f t="shared" si="117"/>
        <v>0</v>
      </c>
      <c r="S150">
        <f t="shared" si="118"/>
        <v>0</v>
      </c>
      <c r="T150">
        <f t="shared" si="119"/>
        <v>0</v>
      </c>
      <c r="U150">
        <f t="shared" si="120"/>
        <v>0</v>
      </c>
      <c r="V150">
        <f t="shared" si="121"/>
        <v>0</v>
      </c>
      <c r="W150">
        <f t="shared" si="122"/>
        <v>0</v>
      </c>
      <c r="X150">
        <f t="shared" si="123"/>
        <v>0</v>
      </c>
      <c r="Y150">
        <f t="shared" si="124"/>
        <v>0</v>
      </c>
      <c r="AA150">
        <v>80890340</v>
      </c>
      <c r="AB150">
        <f t="shared" si="125"/>
        <v>947.97</v>
      </c>
      <c r="AC150">
        <f>ROUND((ES150),6)</f>
        <v>947.97</v>
      </c>
      <c r="AD150">
        <f>ROUND((((ET150)-(EU150))+AE150),6)</f>
        <v>0</v>
      </c>
      <c r="AE150">
        <f>ROUND((EU150),6)</f>
        <v>0</v>
      </c>
      <c r="AF150">
        <f>ROUND((EV150),6)</f>
        <v>0</v>
      </c>
      <c r="AG150">
        <f t="shared" si="127"/>
        <v>0</v>
      </c>
      <c r="AH150">
        <f>(EW150)</f>
        <v>0</v>
      </c>
      <c r="AI150">
        <f>(EX150)</f>
        <v>0</v>
      </c>
      <c r="AJ150">
        <f t="shared" si="129"/>
        <v>0</v>
      </c>
      <c r="AK150">
        <v>947.97</v>
      </c>
      <c r="AL150">
        <v>947.97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70</v>
      </c>
      <c r="AU150">
        <v>10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3</v>
      </c>
      <c r="BI150">
        <v>4</v>
      </c>
      <c r="BJ150" t="s">
        <v>251</v>
      </c>
      <c r="BM150">
        <v>0</v>
      </c>
      <c r="BN150">
        <v>0</v>
      </c>
      <c r="BO150" t="s">
        <v>3</v>
      </c>
      <c r="BP150">
        <v>0</v>
      </c>
      <c r="BQ150">
        <v>1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70</v>
      </c>
      <c r="CA150">
        <v>10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130"/>
        <v>6654.75</v>
      </c>
      <c r="CQ150">
        <f t="shared" si="131"/>
        <v>947.97</v>
      </c>
      <c r="CR150">
        <f>((((ET150)*BB150-(EU150)*BS150)+AE150*BS150)*AV150)</f>
        <v>0</v>
      </c>
      <c r="CS150">
        <f t="shared" si="132"/>
        <v>0</v>
      </c>
      <c r="CT150">
        <f t="shared" si="133"/>
        <v>0</v>
      </c>
      <c r="CU150">
        <f t="shared" si="134"/>
        <v>0</v>
      </c>
      <c r="CV150">
        <f t="shared" si="135"/>
        <v>0</v>
      </c>
      <c r="CW150">
        <f t="shared" si="136"/>
        <v>0</v>
      </c>
      <c r="CX150">
        <f t="shared" si="137"/>
        <v>0</v>
      </c>
      <c r="CY150">
        <f t="shared" si="138"/>
        <v>0</v>
      </c>
      <c r="CZ150">
        <f t="shared" si="139"/>
        <v>0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1002</v>
      </c>
      <c r="DV150" t="s">
        <v>250</v>
      </c>
      <c r="DW150" t="s">
        <v>250</v>
      </c>
      <c r="DX150">
        <v>1</v>
      </c>
      <c r="DZ150" t="s">
        <v>3</v>
      </c>
      <c r="EA150" t="s">
        <v>3</v>
      </c>
      <c r="EB150" t="s">
        <v>3</v>
      </c>
      <c r="EC150" t="s">
        <v>3</v>
      </c>
      <c r="EE150">
        <v>80196140</v>
      </c>
      <c r="EF150">
        <v>1</v>
      </c>
      <c r="EG150" t="s">
        <v>23</v>
      </c>
      <c r="EH150">
        <v>0</v>
      </c>
      <c r="EI150" t="s">
        <v>3</v>
      </c>
      <c r="EJ150">
        <v>4</v>
      </c>
      <c r="EK150">
        <v>0</v>
      </c>
      <c r="EL150" t="s">
        <v>24</v>
      </c>
      <c r="EM150" t="s">
        <v>25</v>
      </c>
      <c r="EO150" t="s">
        <v>3</v>
      </c>
      <c r="EQ150">
        <v>0</v>
      </c>
      <c r="ER150">
        <v>947.97</v>
      </c>
      <c r="ES150">
        <v>947.97</v>
      </c>
      <c r="ET150">
        <v>0</v>
      </c>
      <c r="EU150">
        <v>0</v>
      </c>
      <c r="EV150">
        <v>0</v>
      </c>
      <c r="EW150">
        <v>0</v>
      </c>
      <c r="EX150">
        <v>0</v>
      </c>
      <c r="FQ150">
        <v>0</v>
      </c>
      <c r="FR150">
        <v>0</v>
      </c>
      <c r="FS150">
        <v>0</v>
      </c>
      <c r="FX150">
        <v>70</v>
      </c>
      <c r="FY150">
        <v>10</v>
      </c>
      <c r="GA150" t="s">
        <v>3</v>
      </c>
      <c r="GD150">
        <v>0</v>
      </c>
      <c r="GF150">
        <v>1267865924</v>
      </c>
      <c r="GG150">
        <v>2</v>
      </c>
      <c r="GH150">
        <v>1</v>
      </c>
      <c r="GI150">
        <v>-2</v>
      </c>
      <c r="GJ150">
        <v>0</v>
      </c>
      <c r="GK150">
        <f>ROUND(R150*(R12)/100,2)</f>
        <v>0</v>
      </c>
      <c r="GL150">
        <f t="shared" si="140"/>
        <v>0</v>
      </c>
      <c r="GM150">
        <f t="shared" si="141"/>
        <v>6654.75</v>
      </c>
      <c r="GN150">
        <f t="shared" si="142"/>
        <v>0</v>
      </c>
      <c r="GO150">
        <f t="shared" si="143"/>
        <v>0</v>
      </c>
      <c r="GP150">
        <f t="shared" si="144"/>
        <v>6654.75</v>
      </c>
      <c r="GR150">
        <v>0</v>
      </c>
      <c r="GS150">
        <v>3</v>
      </c>
      <c r="GT150">
        <v>0</v>
      </c>
      <c r="GU150" t="s">
        <v>3</v>
      </c>
      <c r="GV150">
        <f t="shared" si="145"/>
        <v>0</v>
      </c>
      <c r="GW150">
        <v>1</v>
      </c>
      <c r="GX150">
        <f t="shared" si="146"/>
        <v>0</v>
      </c>
      <c r="HA150">
        <v>0</v>
      </c>
      <c r="HB150">
        <v>0</v>
      </c>
      <c r="HC150">
        <f t="shared" si="147"/>
        <v>0</v>
      </c>
      <c r="HE150" t="s">
        <v>3</v>
      </c>
      <c r="HF150" t="s">
        <v>3</v>
      </c>
      <c r="HM150" t="s">
        <v>246</v>
      </c>
      <c r="HN150" t="s">
        <v>3</v>
      </c>
      <c r="HO150" t="s">
        <v>3</v>
      </c>
      <c r="HP150" t="s">
        <v>3</v>
      </c>
      <c r="HQ150" t="s">
        <v>3</v>
      </c>
      <c r="HS150">
        <v>0</v>
      </c>
      <c r="IK150">
        <v>0</v>
      </c>
    </row>
    <row r="151" spans="1:245" x14ac:dyDescent="0.25">
      <c r="A151">
        <v>17</v>
      </c>
      <c r="B151">
        <v>1</v>
      </c>
      <c r="C151">
        <f>ROW(SmtRes!A77)</f>
        <v>77</v>
      </c>
      <c r="D151">
        <f>ROW(EtalonRes!A77)</f>
        <v>77</v>
      </c>
      <c r="E151" t="s">
        <v>252</v>
      </c>
      <c r="F151" t="s">
        <v>210</v>
      </c>
      <c r="G151" t="s">
        <v>253</v>
      </c>
      <c r="H151" t="s">
        <v>39</v>
      </c>
      <c r="I151">
        <v>4.7699999999999996</v>
      </c>
      <c r="J151">
        <v>0</v>
      </c>
      <c r="K151">
        <v>4.7699999999999996</v>
      </c>
      <c r="O151">
        <f t="shared" si="114"/>
        <v>108419.24</v>
      </c>
      <c r="P151">
        <f t="shared" si="115"/>
        <v>5228.87</v>
      </c>
      <c r="Q151">
        <f t="shared" si="116"/>
        <v>85790.36</v>
      </c>
      <c r="R151">
        <f t="shared" si="117"/>
        <v>29617.88</v>
      </c>
      <c r="S151">
        <f t="shared" si="118"/>
        <v>17400.009999999998</v>
      </c>
      <c r="T151">
        <f t="shared" si="119"/>
        <v>0</v>
      </c>
      <c r="U151">
        <f t="shared" si="120"/>
        <v>53.423999999999999</v>
      </c>
      <c r="V151">
        <f t="shared" si="121"/>
        <v>0</v>
      </c>
      <c r="W151">
        <f t="shared" si="122"/>
        <v>0</v>
      </c>
      <c r="X151">
        <f t="shared" si="123"/>
        <v>12180.01</v>
      </c>
      <c r="Y151">
        <f t="shared" si="124"/>
        <v>1740</v>
      </c>
      <c r="AA151">
        <v>80890340</v>
      </c>
      <c r="AB151">
        <f t="shared" si="125"/>
        <v>22729.4</v>
      </c>
      <c r="AC151">
        <f>ROUND(((ES151*20)),6)</f>
        <v>1096.2</v>
      </c>
      <c r="AD151">
        <f>ROUND(((((ET151*20))-((EU151*20)))+AE151),6)</f>
        <v>17985.400000000001</v>
      </c>
      <c r="AE151">
        <f>ROUND(((EU151*20)),6)</f>
        <v>6209.2</v>
      </c>
      <c r="AF151">
        <f>ROUND(((EV151*20)),6)</f>
        <v>3647.8</v>
      </c>
      <c r="AG151">
        <f t="shared" si="127"/>
        <v>0</v>
      </c>
      <c r="AH151">
        <f>((EW151*20))</f>
        <v>11.200000000000001</v>
      </c>
      <c r="AI151">
        <f>((EX151*20))</f>
        <v>0</v>
      </c>
      <c r="AJ151">
        <f t="shared" si="129"/>
        <v>0</v>
      </c>
      <c r="AK151">
        <v>1136.47</v>
      </c>
      <c r="AL151">
        <v>54.81</v>
      </c>
      <c r="AM151">
        <v>899.27</v>
      </c>
      <c r="AN151">
        <v>310.45999999999998</v>
      </c>
      <c r="AO151">
        <v>182.39</v>
      </c>
      <c r="AP151">
        <v>0</v>
      </c>
      <c r="AQ151">
        <v>0.56000000000000005</v>
      </c>
      <c r="AR151">
        <v>0</v>
      </c>
      <c r="AS151">
        <v>0</v>
      </c>
      <c r="AT151">
        <v>70</v>
      </c>
      <c r="AU151">
        <v>10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</v>
      </c>
      <c r="BD151" t="s">
        <v>3</v>
      </c>
      <c r="BE151" t="s">
        <v>3</v>
      </c>
      <c r="BF151" t="s">
        <v>3</v>
      </c>
      <c r="BG151" t="s">
        <v>3</v>
      </c>
      <c r="BH151">
        <v>0</v>
      </c>
      <c r="BI151">
        <v>4</v>
      </c>
      <c r="BJ151" t="s">
        <v>212</v>
      </c>
      <c r="BM151">
        <v>0</v>
      </c>
      <c r="BN151">
        <v>0</v>
      </c>
      <c r="BO151" t="s">
        <v>3</v>
      </c>
      <c r="BP151">
        <v>0</v>
      </c>
      <c r="BQ151">
        <v>1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70</v>
      </c>
      <c r="CA151">
        <v>10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 t="shared" si="130"/>
        <v>108419.23999999999</v>
      </c>
      <c r="CQ151">
        <f t="shared" si="131"/>
        <v>1096.2</v>
      </c>
      <c r="CR151">
        <f>(((((ET151*20))*BB151-((EU151*20))*BS151)+AE151*BS151)*AV151)</f>
        <v>17985.400000000001</v>
      </c>
      <c r="CS151">
        <f t="shared" si="132"/>
        <v>6209.2</v>
      </c>
      <c r="CT151">
        <f t="shared" si="133"/>
        <v>3647.8</v>
      </c>
      <c r="CU151">
        <f t="shared" si="134"/>
        <v>0</v>
      </c>
      <c r="CV151">
        <f t="shared" si="135"/>
        <v>11.200000000000001</v>
      </c>
      <c r="CW151">
        <f t="shared" si="136"/>
        <v>0</v>
      </c>
      <c r="CX151">
        <f t="shared" si="137"/>
        <v>0</v>
      </c>
      <c r="CY151">
        <f t="shared" si="138"/>
        <v>12180.007</v>
      </c>
      <c r="CZ151">
        <f t="shared" si="139"/>
        <v>1740.0009999999997</v>
      </c>
      <c r="DC151" t="s">
        <v>3</v>
      </c>
      <c r="DD151" t="s">
        <v>66</v>
      </c>
      <c r="DE151" t="s">
        <v>66</v>
      </c>
      <c r="DF151" t="s">
        <v>66</v>
      </c>
      <c r="DG151" t="s">
        <v>66</v>
      </c>
      <c r="DH151" t="s">
        <v>3</v>
      </c>
      <c r="DI151" t="s">
        <v>66</v>
      </c>
      <c r="DJ151" t="s">
        <v>66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1007</v>
      </c>
      <c r="DV151" t="s">
        <v>39</v>
      </c>
      <c r="DW151" t="s">
        <v>39</v>
      </c>
      <c r="DX151">
        <v>1</v>
      </c>
      <c r="DZ151" t="s">
        <v>3</v>
      </c>
      <c r="EA151" t="s">
        <v>3</v>
      </c>
      <c r="EB151" t="s">
        <v>3</v>
      </c>
      <c r="EC151" t="s">
        <v>3</v>
      </c>
      <c r="EE151">
        <v>80196140</v>
      </c>
      <c r="EF151">
        <v>1</v>
      </c>
      <c r="EG151" t="s">
        <v>23</v>
      </c>
      <c r="EH151">
        <v>0</v>
      </c>
      <c r="EI151" t="s">
        <v>3</v>
      </c>
      <c r="EJ151">
        <v>4</v>
      </c>
      <c r="EK151">
        <v>0</v>
      </c>
      <c r="EL151" t="s">
        <v>24</v>
      </c>
      <c r="EM151" t="s">
        <v>25</v>
      </c>
      <c r="EO151" t="s">
        <v>3</v>
      </c>
      <c r="EQ151">
        <v>0</v>
      </c>
      <c r="ER151">
        <v>1136.47</v>
      </c>
      <c r="ES151">
        <v>54.81</v>
      </c>
      <c r="ET151">
        <v>899.27</v>
      </c>
      <c r="EU151">
        <v>310.45999999999998</v>
      </c>
      <c r="EV151">
        <v>182.39</v>
      </c>
      <c r="EW151">
        <v>0.56000000000000005</v>
      </c>
      <c r="EX151">
        <v>0</v>
      </c>
      <c r="EY151">
        <v>0</v>
      </c>
      <c r="FQ151">
        <v>0</v>
      </c>
      <c r="FR151">
        <v>0</v>
      </c>
      <c r="FS151">
        <v>0</v>
      </c>
      <c r="FX151">
        <v>70</v>
      </c>
      <c r="FY151">
        <v>10</v>
      </c>
      <c r="GA151" t="s">
        <v>3</v>
      </c>
      <c r="GD151">
        <v>0</v>
      </c>
      <c r="GF151">
        <v>1703893866</v>
      </c>
      <c r="GG151">
        <v>2</v>
      </c>
      <c r="GH151">
        <v>1</v>
      </c>
      <c r="GI151">
        <v>-2</v>
      </c>
      <c r="GJ151">
        <v>0</v>
      </c>
      <c r="GK151">
        <f>ROUND(R151*(R12)/100,2)</f>
        <v>31987.31</v>
      </c>
      <c r="GL151">
        <f t="shared" si="140"/>
        <v>0</v>
      </c>
      <c r="GM151">
        <f t="shared" si="141"/>
        <v>154326.56</v>
      </c>
      <c r="GN151">
        <f t="shared" si="142"/>
        <v>0</v>
      </c>
      <c r="GO151">
        <f t="shared" si="143"/>
        <v>0</v>
      </c>
      <c r="GP151">
        <f t="shared" si="144"/>
        <v>154326.56</v>
      </c>
      <c r="GR151">
        <v>0</v>
      </c>
      <c r="GS151">
        <v>3</v>
      </c>
      <c r="GT151">
        <v>0</v>
      </c>
      <c r="GU151" t="s">
        <v>3</v>
      </c>
      <c r="GV151">
        <f t="shared" si="145"/>
        <v>0</v>
      </c>
      <c r="GW151">
        <v>1</v>
      </c>
      <c r="GX151">
        <f t="shared" si="146"/>
        <v>0</v>
      </c>
      <c r="HA151">
        <v>0</v>
      </c>
      <c r="HB151">
        <v>0</v>
      </c>
      <c r="HC151">
        <f t="shared" si="147"/>
        <v>0</v>
      </c>
      <c r="HE151" t="s">
        <v>3</v>
      </c>
      <c r="HF151" t="s">
        <v>3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HS151">
        <v>0</v>
      </c>
      <c r="IK151">
        <v>0</v>
      </c>
    </row>
    <row r="152" spans="1:245" x14ac:dyDescent="0.25">
      <c r="A152">
        <v>18</v>
      </c>
      <c r="B152">
        <v>1</v>
      </c>
      <c r="C152">
        <v>77</v>
      </c>
      <c r="E152" t="s">
        <v>254</v>
      </c>
      <c r="F152" t="s">
        <v>37</v>
      </c>
      <c r="G152" t="s">
        <v>38</v>
      </c>
      <c r="H152" t="s">
        <v>39</v>
      </c>
      <c r="I152">
        <f>I151*J152</f>
        <v>-95.4</v>
      </c>
      <c r="J152">
        <v>-20.000000000000004</v>
      </c>
      <c r="K152">
        <v>-1</v>
      </c>
      <c r="O152">
        <f t="shared" si="114"/>
        <v>-5228.87</v>
      </c>
      <c r="P152">
        <f t="shared" si="115"/>
        <v>-5228.87</v>
      </c>
      <c r="Q152">
        <f t="shared" si="116"/>
        <v>0</v>
      </c>
      <c r="R152">
        <f t="shared" si="117"/>
        <v>0</v>
      </c>
      <c r="S152">
        <f t="shared" si="118"/>
        <v>0</v>
      </c>
      <c r="T152">
        <f t="shared" si="119"/>
        <v>0</v>
      </c>
      <c r="U152">
        <f t="shared" si="120"/>
        <v>0</v>
      </c>
      <c r="V152">
        <f t="shared" si="121"/>
        <v>0</v>
      </c>
      <c r="W152">
        <f t="shared" si="122"/>
        <v>0</v>
      </c>
      <c r="X152">
        <f t="shared" si="123"/>
        <v>0</v>
      </c>
      <c r="Y152">
        <f t="shared" si="124"/>
        <v>0</v>
      </c>
      <c r="AA152">
        <v>80890340</v>
      </c>
      <c r="AB152">
        <f t="shared" si="125"/>
        <v>54.81</v>
      </c>
      <c r="AC152">
        <f>ROUND((ES152),6)</f>
        <v>54.81</v>
      </c>
      <c r="AD152">
        <f>ROUND((((ET152)-(EU152))+AE152),6)</f>
        <v>0</v>
      </c>
      <c r="AE152">
        <f>ROUND((EU152),6)</f>
        <v>0</v>
      </c>
      <c r="AF152">
        <f>ROUND((EV152),6)</f>
        <v>0</v>
      </c>
      <c r="AG152">
        <f t="shared" si="127"/>
        <v>0</v>
      </c>
      <c r="AH152">
        <f>(EW152)</f>
        <v>0</v>
      </c>
      <c r="AI152">
        <f>(EX152)</f>
        <v>0</v>
      </c>
      <c r="AJ152">
        <f t="shared" si="129"/>
        <v>0</v>
      </c>
      <c r="AK152">
        <v>54.81</v>
      </c>
      <c r="AL152">
        <v>54.81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70</v>
      </c>
      <c r="AU152">
        <v>10</v>
      </c>
      <c r="AV152">
        <v>1</v>
      </c>
      <c r="AW152">
        <v>1</v>
      </c>
      <c r="AZ152">
        <v>1</v>
      </c>
      <c r="BA152">
        <v>1</v>
      </c>
      <c r="BB152">
        <v>1</v>
      </c>
      <c r="BC152">
        <v>1</v>
      </c>
      <c r="BD152" t="s">
        <v>3</v>
      </c>
      <c r="BE152" t="s">
        <v>3</v>
      </c>
      <c r="BF152" t="s">
        <v>3</v>
      </c>
      <c r="BG152" t="s">
        <v>3</v>
      </c>
      <c r="BH152">
        <v>3</v>
      </c>
      <c r="BI152">
        <v>4</v>
      </c>
      <c r="BJ152" t="s">
        <v>40</v>
      </c>
      <c r="BM152">
        <v>0</v>
      </c>
      <c r="BN152">
        <v>0</v>
      </c>
      <c r="BO152" t="s">
        <v>3</v>
      </c>
      <c r="BP152">
        <v>0</v>
      </c>
      <c r="BQ152">
        <v>1</v>
      </c>
      <c r="BR152">
        <v>1</v>
      </c>
      <c r="BS152">
        <v>1</v>
      </c>
      <c r="BT152">
        <v>1</v>
      </c>
      <c r="BU152">
        <v>1</v>
      </c>
      <c r="BV152">
        <v>1</v>
      </c>
      <c r="BW152">
        <v>1</v>
      </c>
      <c r="BX152">
        <v>1</v>
      </c>
      <c r="BY152" t="s">
        <v>3</v>
      </c>
      <c r="BZ152">
        <v>70</v>
      </c>
      <c r="CA152">
        <v>10</v>
      </c>
      <c r="CB152" t="s">
        <v>3</v>
      </c>
      <c r="CE152">
        <v>0</v>
      </c>
      <c r="CF152">
        <v>0</v>
      </c>
      <c r="CG152">
        <v>0</v>
      </c>
      <c r="CM152">
        <v>0</v>
      </c>
      <c r="CN152" t="s">
        <v>3</v>
      </c>
      <c r="CO152">
        <v>0</v>
      </c>
      <c r="CP152">
        <f t="shared" si="130"/>
        <v>-5228.87</v>
      </c>
      <c r="CQ152">
        <f t="shared" si="131"/>
        <v>54.81</v>
      </c>
      <c r="CR152">
        <f>((((ET152)*BB152-(EU152)*BS152)+AE152*BS152)*AV152)</f>
        <v>0</v>
      </c>
      <c r="CS152">
        <f t="shared" si="132"/>
        <v>0</v>
      </c>
      <c r="CT152">
        <f t="shared" si="133"/>
        <v>0</v>
      </c>
      <c r="CU152">
        <f t="shared" si="134"/>
        <v>0</v>
      </c>
      <c r="CV152">
        <f t="shared" si="135"/>
        <v>0</v>
      </c>
      <c r="CW152">
        <f t="shared" si="136"/>
        <v>0</v>
      </c>
      <c r="CX152">
        <f t="shared" si="137"/>
        <v>0</v>
      </c>
      <c r="CY152">
        <f t="shared" si="138"/>
        <v>0</v>
      </c>
      <c r="CZ152">
        <f t="shared" si="139"/>
        <v>0</v>
      </c>
      <c r="DC152" t="s">
        <v>3</v>
      </c>
      <c r="DD152" t="s">
        <v>3</v>
      </c>
      <c r="DE152" t="s">
        <v>3</v>
      </c>
      <c r="DF152" t="s">
        <v>3</v>
      </c>
      <c r="DG152" t="s">
        <v>3</v>
      </c>
      <c r="DH152" t="s">
        <v>3</v>
      </c>
      <c r="DI152" t="s">
        <v>3</v>
      </c>
      <c r="DJ152" t="s">
        <v>3</v>
      </c>
      <c r="DK152" t="s">
        <v>3</v>
      </c>
      <c r="DL152" t="s">
        <v>3</v>
      </c>
      <c r="DM152" t="s">
        <v>3</v>
      </c>
      <c r="DN152">
        <v>0</v>
      </c>
      <c r="DO152">
        <v>0</v>
      </c>
      <c r="DP152">
        <v>1</v>
      </c>
      <c r="DQ152">
        <v>1</v>
      </c>
      <c r="DU152">
        <v>1007</v>
      </c>
      <c r="DV152" t="s">
        <v>39</v>
      </c>
      <c r="DW152" t="s">
        <v>39</v>
      </c>
      <c r="DX152">
        <v>1</v>
      </c>
      <c r="DZ152" t="s">
        <v>3</v>
      </c>
      <c r="EA152" t="s">
        <v>3</v>
      </c>
      <c r="EB152" t="s">
        <v>3</v>
      </c>
      <c r="EC152" t="s">
        <v>3</v>
      </c>
      <c r="EE152">
        <v>80196140</v>
      </c>
      <c r="EF152">
        <v>1</v>
      </c>
      <c r="EG152" t="s">
        <v>23</v>
      </c>
      <c r="EH152">
        <v>0</v>
      </c>
      <c r="EI152" t="s">
        <v>3</v>
      </c>
      <c r="EJ152">
        <v>4</v>
      </c>
      <c r="EK152">
        <v>0</v>
      </c>
      <c r="EL152" t="s">
        <v>24</v>
      </c>
      <c r="EM152" t="s">
        <v>25</v>
      </c>
      <c r="EO152" t="s">
        <v>3</v>
      </c>
      <c r="EQ152">
        <v>32768</v>
      </c>
      <c r="ER152">
        <v>54.81</v>
      </c>
      <c r="ES152">
        <v>54.81</v>
      </c>
      <c r="ET152">
        <v>0</v>
      </c>
      <c r="EU152">
        <v>0</v>
      </c>
      <c r="EV152">
        <v>0</v>
      </c>
      <c r="EW152">
        <v>0</v>
      </c>
      <c r="EX152">
        <v>0</v>
      </c>
      <c r="FQ152">
        <v>0</v>
      </c>
      <c r="FR152">
        <v>0</v>
      </c>
      <c r="FS152">
        <v>0</v>
      </c>
      <c r="FX152">
        <v>70</v>
      </c>
      <c r="FY152">
        <v>10</v>
      </c>
      <c r="GA152" t="s">
        <v>3</v>
      </c>
      <c r="GD152">
        <v>0</v>
      </c>
      <c r="GF152">
        <v>2112060389</v>
      </c>
      <c r="GG152">
        <v>2</v>
      </c>
      <c r="GH152">
        <v>1</v>
      </c>
      <c r="GI152">
        <v>-2</v>
      </c>
      <c r="GJ152">
        <v>0</v>
      </c>
      <c r="GK152">
        <f>ROUND(R152*(R12)/100,2)</f>
        <v>0</v>
      </c>
      <c r="GL152">
        <f t="shared" si="140"/>
        <v>0</v>
      </c>
      <c r="GM152">
        <f t="shared" si="141"/>
        <v>-5228.87</v>
      </c>
      <c r="GN152">
        <f t="shared" si="142"/>
        <v>0</v>
      </c>
      <c r="GO152">
        <f t="shared" si="143"/>
        <v>0</v>
      </c>
      <c r="GP152">
        <f t="shared" si="144"/>
        <v>-5228.87</v>
      </c>
      <c r="GR152">
        <v>0</v>
      </c>
      <c r="GS152">
        <v>3</v>
      </c>
      <c r="GT152">
        <v>0</v>
      </c>
      <c r="GU152" t="s">
        <v>3</v>
      </c>
      <c r="GV152">
        <f t="shared" si="145"/>
        <v>0</v>
      </c>
      <c r="GW152">
        <v>1</v>
      </c>
      <c r="GX152">
        <f t="shared" si="146"/>
        <v>0</v>
      </c>
      <c r="HA152">
        <v>0</v>
      </c>
      <c r="HB152">
        <v>0</v>
      </c>
      <c r="HC152">
        <f t="shared" si="147"/>
        <v>0</v>
      </c>
      <c r="HE152" t="s">
        <v>3</v>
      </c>
      <c r="HF152" t="s">
        <v>3</v>
      </c>
      <c r="HM152" t="s">
        <v>66</v>
      </c>
      <c r="HN152" t="s">
        <v>3</v>
      </c>
      <c r="HO152" t="s">
        <v>3</v>
      </c>
      <c r="HP152" t="s">
        <v>3</v>
      </c>
      <c r="HQ152" t="s">
        <v>3</v>
      </c>
      <c r="HS152">
        <v>0</v>
      </c>
      <c r="IK152">
        <v>0</v>
      </c>
    </row>
    <row r="154" spans="1:245" ht="13" x14ac:dyDescent="0.3">
      <c r="A154" s="2">
        <v>51</v>
      </c>
      <c r="B154" s="2">
        <f>B129</f>
        <v>1</v>
      </c>
      <c r="C154" s="2">
        <f>A129</f>
        <v>5</v>
      </c>
      <c r="D154" s="2">
        <f>ROW(A129)</f>
        <v>129</v>
      </c>
      <c r="E154" s="2"/>
      <c r="F154" s="2" t="str">
        <f>IF(F129&lt;&gt;"",F129,"")</f>
        <v>Новый подраздел</v>
      </c>
      <c r="G154" s="2" t="str">
        <f>IF(G129&lt;&gt;"",G129,"")</f>
        <v xml:space="preserve">Подраздел: УХОД ЗА ЗЕЛЕНЫМИ НАСАЖДЕНИЯМИ </v>
      </c>
      <c r="H154" s="2">
        <v>0</v>
      </c>
      <c r="I154" s="2"/>
      <c r="J154" s="2"/>
      <c r="K154" s="2"/>
      <c r="L154" s="2"/>
      <c r="M154" s="2"/>
      <c r="N154" s="2"/>
      <c r="O154" s="2">
        <f t="shared" ref="O154:T154" si="150">ROUND(AB154,2)</f>
        <v>6807533.5800000001</v>
      </c>
      <c r="P154" s="2">
        <f t="shared" si="150"/>
        <v>272199.84999999998</v>
      </c>
      <c r="Q154" s="2">
        <f t="shared" si="150"/>
        <v>876585.45</v>
      </c>
      <c r="R154" s="2">
        <f t="shared" si="150"/>
        <v>252672.23</v>
      </c>
      <c r="S154" s="2">
        <f t="shared" si="150"/>
        <v>5658748.2800000003</v>
      </c>
      <c r="T154" s="2">
        <f t="shared" si="150"/>
        <v>0</v>
      </c>
      <c r="U154" s="2">
        <f>AH154</f>
        <v>12442.574989999999</v>
      </c>
      <c r="V154" s="2">
        <f>AI154</f>
        <v>0</v>
      </c>
      <c r="W154" s="2">
        <f>ROUND(AJ154,2)</f>
        <v>0</v>
      </c>
      <c r="X154" s="2">
        <f>ROUND(AK154,2)</f>
        <v>3961123.81</v>
      </c>
      <c r="Y154" s="2">
        <f>ROUND(AL154,2)</f>
        <v>565874.82999999996</v>
      </c>
      <c r="Z154" s="2"/>
      <c r="AA154" s="2"/>
      <c r="AB154" s="2">
        <f>ROUND(SUMIF(AA133:AA152,"=80890340",O133:O152),2)</f>
        <v>6807533.5800000001</v>
      </c>
      <c r="AC154" s="2">
        <f>ROUND(SUMIF(AA133:AA152,"=80890340",P133:P152),2)</f>
        <v>272199.84999999998</v>
      </c>
      <c r="AD154" s="2">
        <f>ROUND(SUMIF(AA133:AA152,"=80890340",Q133:Q152),2)</f>
        <v>876585.45</v>
      </c>
      <c r="AE154" s="2">
        <f>ROUND(SUMIF(AA133:AA152,"=80890340",R133:R152),2)</f>
        <v>252672.23</v>
      </c>
      <c r="AF154" s="2">
        <f>ROUND(SUMIF(AA133:AA152,"=80890340",S133:S152),2)</f>
        <v>5658748.2800000003</v>
      </c>
      <c r="AG154" s="2">
        <f>ROUND(SUMIF(AA133:AA152,"=80890340",T133:T152),2)</f>
        <v>0</v>
      </c>
      <c r="AH154" s="2">
        <f>SUMIF(AA133:AA152,"=80890340",U133:U152)</f>
        <v>12442.574989999999</v>
      </c>
      <c r="AI154" s="2">
        <f>SUMIF(AA133:AA152,"=80890340",V133:V152)</f>
        <v>0</v>
      </c>
      <c r="AJ154" s="2">
        <f>ROUND(SUMIF(AA133:AA152,"=80890340",W133:W152),2)</f>
        <v>0</v>
      </c>
      <c r="AK154" s="2">
        <f>ROUND(SUMIF(AA133:AA152,"=80890340",X133:X152),2)</f>
        <v>3961123.81</v>
      </c>
      <c r="AL154" s="2">
        <f>ROUND(SUMIF(AA133:AA152,"=80890340",Y133:Y152),2)</f>
        <v>565874.82999999996</v>
      </c>
      <c r="AM154" s="2"/>
      <c r="AN154" s="2"/>
      <c r="AO154" s="2">
        <f t="shared" ref="AO154:BD154" si="151">ROUND(BX154,2)</f>
        <v>0</v>
      </c>
      <c r="AP154" s="2">
        <f t="shared" si="151"/>
        <v>0</v>
      </c>
      <c r="AQ154" s="2">
        <f t="shared" si="151"/>
        <v>0</v>
      </c>
      <c r="AR154" s="2">
        <f t="shared" si="151"/>
        <v>11607418.210000001</v>
      </c>
      <c r="AS154" s="2">
        <f t="shared" si="151"/>
        <v>0</v>
      </c>
      <c r="AT154" s="2">
        <f t="shared" si="151"/>
        <v>0</v>
      </c>
      <c r="AU154" s="2">
        <f t="shared" si="151"/>
        <v>11607418.210000001</v>
      </c>
      <c r="AV154" s="2">
        <f t="shared" si="151"/>
        <v>272199.84999999998</v>
      </c>
      <c r="AW154" s="2">
        <f t="shared" si="151"/>
        <v>272199.84999999998</v>
      </c>
      <c r="AX154" s="2">
        <f t="shared" si="151"/>
        <v>0</v>
      </c>
      <c r="AY154" s="2">
        <f t="shared" si="151"/>
        <v>272199.84999999998</v>
      </c>
      <c r="AZ154" s="2">
        <f t="shared" si="151"/>
        <v>0</v>
      </c>
      <c r="BA154" s="2">
        <f t="shared" si="151"/>
        <v>0</v>
      </c>
      <c r="BB154" s="2">
        <f t="shared" si="151"/>
        <v>0</v>
      </c>
      <c r="BC154" s="2">
        <f t="shared" si="151"/>
        <v>0</v>
      </c>
      <c r="BD154" s="2">
        <f t="shared" si="151"/>
        <v>0</v>
      </c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>
        <f>ROUND(SUMIF(AA133:AA152,"=80890340",FQ133:FQ152),2)</f>
        <v>0</v>
      </c>
      <c r="BY154" s="2">
        <f>ROUND(SUMIF(AA133:AA152,"=80890340",FR133:FR152),2)</f>
        <v>0</v>
      </c>
      <c r="BZ154" s="2">
        <f>ROUND(SUMIF(AA133:AA152,"=80890340",GL133:GL152),2)</f>
        <v>0</v>
      </c>
      <c r="CA154" s="2">
        <f>ROUND(SUMIF(AA133:AA152,"=80890340",GM133:GM152),2)</f>
        <v>11607418.210000001</v>
      </c>
      <c r="CB154" s="2">
        <f>ROUND(SUMIF(AA133:AA152,"=80890340",GN133:GN152),2)</f>
        <v>0</v>
      </c>
      <c r="CC154" s="2">
        <f>ROUND(SUMIF(AA133:AA152,"=80890340",GO133:GO152),2)</f>
        <v>0</v>
      </c>
      <c r="CD154" s="2">
        <f>ROUND(SUMIF(AA133:AA152,"=80890340",GP133:GP152),2)</f>
        <v>11607418.210000001</v>
      </c>
      <c r="CE154" s="2">
        <f>AC154-BX154</f>
        <v>272199.84999999998</v>
      </c>
      <c r="CF154" s="2">
        <f>AC154-BY154</f>
        <v>272199.84999999998</v>
      </c>
      <c r="CG154" s="2">
        <f>BX154-BZ154</f>
        <v>0</v>
      </c>
      <c r="CH154" s="2">
        <f>AC154-BX154-BY154+BZ154</f>
        <v>272199.84999999998</v>
      </c>
      <c r="CI154" s="2">
        <f>BY154-BZ154</f>
        <v>0</v>
      </c>
      <c r="CJ154" s="2">
        <f>ROUND(SUMIF(AA133:AA152,"=80890340",GX133:GX152),2)</f>
        <v>0</v>
      </c>
      <c r="CK154" s="2">
        <f>ROUND(SUMIF(AA133:AA152,"=80890340",GY133:GY152),2)</f>
        <v>0</v>
      </c>
      <c r="CL154" s="2">
        <f>ROUND(SUMIF(AA133:AA152,"=80890340",GZ133:GZ152),2)</f>
        <v>0</v>
      </c>
      <c r="CM154" s="2">
        <f>ROUND(SUMIF(AA133:AA152,"=80890340",HD133:HD152),2)</f>
        <v>0</v>
      </c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  <c r="EN154" s="3"/>
      <c r="EO154" s="3"/>
      <c r="EP154" s="3"/>
      <c r="EQ154" s="3"/>
      <c r="ER154" s="3"/>
      <c r="ES154" s="3"/>
      <c r="ET154" s="3"/>
      <c r="EU154" s="3"/>
      <c r="EV154" s="3"/>
      <c r="EW154" s="3"/>
      <c r="EX154" s="3"/>
      <c r="EY154" s="3"/>
      <c r="EZ154" s="3"/>
      <c r="FA154" s="3"/>
      <c r="FB154" s="3"/>
      <c r="FC154" s="3"/>
      <c r="FD154" s="3"/>
      <c r="FE154" s="3"/>
      <c r="FF154" s="3"/>
      <c r="FG154" s="3"/>
      <c r="FH154" s="3"/>
      <c r="FI154" s="3"/>
      <c r="FJ154" s="3"/>
      <c r="FK154" s="3"/>
      <c r="FL154" s="3"/>
      <c r="FM154" s="3"/>
      <c r="FN154" s="3"/>
      <c r="FO154" s="3"/>
      <c r="FP154" s="3"/>
      <c r="FQ154" s="3"/>
      <c r="FR154" s="3"/>
      <c r="FS154" s="3"/>
      <c r="FT154" s="3"/>
      <c r="FU154" s="3"/>
      <c r="FV154" s="3"/>
      <c r="FW154" s="3"/>
      <c r="FX154" s="3"/>
      <c r="FY154" s="3"/>
      <c r="FZ154" s="3"/>
      <c r="GA154" s="3"/>
      <c r="GB154" s="3"/>
      <c r="GC154" s="3"/>
      <c r="GD154" s="3"/>
      <c r="GE154" s="3"/>
      <c r="GF154" s="3"/>
      <c r="GG154" s="3"/>
      <c r="GH154" s="3"/>
      <c r="GI154" s="3"/>
      <c r="GJ154" s="3"/>
      <c r="GK154" s="3"/>
      <c r="GL154" s="3"/>
      <c r="GM154" s="3"/>
      <c r="GN154" s="3"/>
      <c r="GO154" s="3"/>
      <c r="GP154" s="3"/>
      <c r="GQ154" s="3"/>
      <c r="GR154" s="3"/>
      <c r="GS154" s="3"/>
      <c r="GT154" s="3"/>
      <c r="GU154" s="3"/>
      <c r="GV154" s="3"/>
      <c r="GW154" s="3"/>
      <c r="GX154" s="3">
        <v>0</v>
      </c>
    </row>
    <row r="156" spans="1:245" ht="13" x14ac:dyDescent="0.3">
      <c r="A156" s="4">
        <v>50</v>
      </c>
      <c r="B156" s="4">
        <v>0</v>
      </c>
      <c r="C156" s="4">
        <v>0</v>
      </c>
      <c r="D156" s="4">
        <v>1</v>
      </c>
      <c r="E156" s="4">
        <v>201</v>
      </c>
      <c r="F156" s="4">
        <f>ROUND(Source!O154,O156)</f>
        <v>6807533.5800000001</v>
      </c>
      <c r="G156" s="4" t="s">
        <v>94</v>
      </c>
      <c r="H156" s="4" t="s">
        <v>95</v>
      </c>
      <c r="I156" s="4"/>
      <c r="J156" s="4"/>
      <c r="K156" s="4">
        <v>201</v>
      </c>
      <c r="L156" s="4">
        <v>1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6807533.5800000001</v>
      </c>
      <c r="X156" s="4">
        <v>1</v>
      </c>
      <c r="Y156" s="4">
        <v>6807533.5800000001</v>
      </c>
      <c r="Z156" s="4"/>
      <c r="AA156" s="4"/>
      <c r="AB156" s="4"/>
    </row>
    <row r="157" spans="1:245" ht="13" x14ac:dyDescent="0.3">
      <c r="A157" s="4">
        <v>50</v>
      </c>
      <c r="B157" s="4">
        <v>0</v>
      </c>
      <c r="C157" s="4">
        <v>0</v>
      </c>
      <c r="D157" s="4">
        <v>1</v>
      </c>
      <c r="E157" s="4">
        <v>202</v>
      </c>
      <c r="F157" s="4">
        <f>ROUND(Source!P154,O157)</f>
        <v>272199.84999999998</v>
      </c>
      <c r="G157" s="4" t="s">
        <v>96</v>
      </c>
      <c r="H157" s="4" t="s">
        <v>97</v>
      </c>
      <c r="I157" s="4"/>
      <c r="J157" s="4"/>
      <c r="K157" s="4">
        <v>202</v>
      </c>
      <c r="L157" s="4">
        <v>2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272199.84999999998</v>
      </c>
      <c r="X157" s="4">
        <v>1</v>
      </c>
      <c r="Y157" s="4">
        <v>272199.84999999998</v>
      </c>
      <c r="Z157" s="4"/>
      <c r="AA157" s="4"/>
      <c r="AB157" s="4"/>
    </row>
    <row r="158" spans="1:245" ht="13" x14ac:dyDescent="0.3">
      <c r="A158" s="4">
        <v>50</v>
      </c>
      <c r="B158" s="4">
        <v>0</v>
      </c>
      <c r="C158" s="4">
        <v>0</v>
      </c>
      <c r="D158" s="4">
        <v>1</v>
      </c>
      <c r="E158" s="4">
        <v>222</v>
      </c>
      <c r="F158" s="4">
        <f>ROUND(Source!AO154,O158)</f>
        <v>0</v>
      </c>
      <c r="G158" s="4" t="s">
        <v>98</v>
      </c>
      <c r="H158" s="4" t="s">
        <v>99</v>
      </c>
      <c r="I158" s="4"/>
      <c r="J158" s="4"/>
      <c r="K158" s="4">
        <v>222</v>
      </c>
      <c r="L158" s="4">
        <v>3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45" ht="13" x14ac:dyDescent="0.3">
      <c r="A159" s="4">
        <v>50</v>
      </c>
      <c r="B159" s="4">
        <v>0</v>
      </c>
      <c r="C159" s="4">
        <v>0</v>
      </c>
      <c r="D159" s="4">
        <v>1</v>
      </c>
      <c r="E159" s="4">
        <v>225</v>
      </c>
      <c r="F159" s="4">
        <f>ROUND(Source!AV154,O159)</f>
        <v>272199.84999999998</v>
      </c>
      <c r="G159" s="4" t="s">
        <v>100</v>
      </c>
      <c r="H159" s="4" t="s">
        <v>101</v>
      </c>
      <c r="I159" s="4"/>
      <c r="J159" s="4"/>
      <c r="K159" s="4">
        <v>225</v>
      </c>
      <c r="L159" s="4">
        <v>4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272199.84999999998</v>
      </c>
      <c r="X159" s="4">
        <v>1</v>
      </c>
      <c r="Y159" s="4">
        <v>272199.84999999998</v>
      </c>
      <c r="Z159" s="4"/>
      <c r="AA159" s="4"/>
      <c r="AB159" s="4"/>
    </row>
    <row r="160" spans="1:245" ht="13" x14ac:dyDescent="0.3">
      <c r="A160" s="4">
        <v>50</v>
      </c>
      <c r="B160" s="4">
        <v>0</v>
      </c>
      <c r="C160" s="4">
        <v>0</v>
      </c>
      <c r="D160" s="4">
        <v>1</v>
      </c>
      <c r="E160" s="4">
        <v>226</v>
      </c>
      <c r="F160" s="4">
        <f>ROUND(Source!AW154,O160)</f>
        <v>272199.84999999998</v>
      </c>
      <c r="G160" s="4" t="s">
        <v>102</v>
      </c>
      <c r="H160" s="4" t="s">
        <v>103</v>
      </c>
      <c r="I160" s="4"/>
      <c r="J160" s="4"/>
      <c r="K160" s="4">
        <v>226</v>
      </c>
      <c r="L160" s="4">
        <v>5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272199.84999999998</v>
      </c>
      <c r="X160" s="4">
        <v>1</v>
      </c>
      <c r="Y160" s="4">
        <v>272199.84999999998</v>
      </c>
      <c r="Z160" s="4"/>
      <c r="AA160" s="4"/>
      <c r="AB160" s="4"/>
    </row>
    <row r="161" spans="1:28" ht="13" x14ac:dyDescent="0.3">
      <c r="A161" s="4">
        <v>50</v>
      </c>
      <c r="B161" s="4">
        <v>0</v>
      </c>
      <c r="C161" s="4">
        <v>0</v>
      </c>
      <c r="D161" s="4">
        <v>1</v>
      </c>
      <c r="E161" s="4">
        <v>227</v>
      </c>
      <c r="F161" s="4">
        <f>ROUND(Source!AX154,O161)</f>
        <v>0</v>
      </c>
      <c r="G161" s="4" t="s">
        <v>104</v>
      </c>
      <c r="H161" s="4" t="s">
        <v>105</v>
      </c>
      <c r="I161" s="4"/>
      <c r="J161" s="4"/>
      <c r="K161" s="4">
        <v>227</v>
      </c>
      <c r="L161" s="4">
        <v>6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8" ht="13" x14ac:dyDescent="0.3">
      <c r="A162" s="4">
        <v>50</v>
      </c>
      <c r="B162" s="4">
        <v>0</v>
      </c>
      <c r="C162" s="4">
        <v>0</v>
      </c>
      <c r="D162" s="4">
        <v>1</v>
      </c>
      <c r="E162" s="4">
        <v>228</v>
      </c>
      <c r="F162" s="4">
        <f>ROUND(Source!AY154,O162)</f>
        <v>272199.84999999998</v>
      </c>
      <c r="G162" s="4" t="s">
        <v>106</v>
      </c>
      <c r="H162" s="4" t="s">
        <v>107</v>
      </c>
      <c r="I162" s="4"/>
      <c r="J162" s="4"/>
      <c r="K162" s="4">
        <v>228</v>
      </c>
      <c r="L162" s="4">
        <v>7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272199.84999999998</v>
      </c>
      <c r="X162" s="4">
        <v>1</v>
      </c>
      <c r="Y162" s="4">
        <v>272199.84999999998</v>
      </c>
      <c r="Z162" s="4"/>
      <c r="AA162" s="4"/>
      <c r="AB162" s="4"/>
    </row>
    <row r="163" spans="1:28" ht="13" x14ac:dyDescent="0.3">
      <c r="A163" s="4">
        <v>50</v>
      </c>
      <c r="B163" s="4">
        <v>0</v>
      </c>
      <c r="C163" s="4">
        <v>0</v>
      </c>
      <c r="D163" s="4">
        <v>1</v>
      </c>
      <c r="E163" s="4">
        <v>216</v>
      </c>
      <c r="F163" s="4">
        <f>ROUND(Source!AP154,O163)</f>
        <v>0</v>
      </c>
      <c r="G163" s="4" t="s">
        <v>108</v>
      </c>
      <c r="H163" s="4" t="s">
        <v>109</v>
      </c>
      <c r="I163" s="4"/>
      <c r="J163" s="4"/>
      <c r="K163" s="4">
        <v>216</v>
      </c>
      <c r="L163" s="4">
        <v>8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ht="13" x14ac:dyDescent="0.3">
      <c r="A164" s="4">
        <v>50</v>
      </c>
      <c r="B164" s="4">
        <v>0</v>
      </c>
      <c r="C164" s="4">
        <v>0</v>
      </c>
      <c r="D164" s="4">
        <v>1</v>
      </c>
      <c r="E164" s="4">
        <v>223</v>
      </c>
      <c r="F164" s="4">
        <f>ROUND(Source!AQ154,O164)</f>
        <v>0</v>
      </c>
      <c r="G164" s="4" t="s">
        <v>110</v>
      </c>
      <c r="H164" s="4" t="s">
        <v>111</v>
      </c>
      <c r="I164" s="4"/>
      <c r="J164" s="4"/>
      <c r="K164" s="4">
        <v>223</v>
      </c>
      <c r="L164" s="4">
        <v>9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 ht="13" x14ac:dyDescent="0.3">
      <c r="A165" s="4">
        <v>50</v>
      </c>
      <c r="B165" s="4">
        <v>0</v>
      </c>
      <c r="C165" s="4">
        <v>0</v>
      </c>
      <c r="D165" s="4">
        <v>1</v>
      </c>
      <c r="E165" s="4">
        <v>229</v>
      </c>
      <c r="F165" s="4">
        <f>ROUND(Source!AZ154,O165)</f>
        <v>0</v>
      </c>
      <c r="G165" s="4" t="s">
        <v>112</v>
      </c>
      <c r="H165" s="4" t="s">
        <v>113</v>
      </c>
      <c r="I165" s="4"/>
      <c r="J165" s="4"/>
      <c r="K165" s="4">
        <v>229</v>
      </c>
      <c r="L165" s="4">
        <v>10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ht="13" x14ac:dyDescent="0.3">
      <c r="A166" s="4">
        <v>50</v>
      </c>
      <c r="B166" s="4">
        <v>0</v>
      </c>
      <c r="C166" s="4">
        <v>0</v>
      </c>
      <c r="D166" s="4">
        <v>1</v>
      </c>
      <c r="E166" s="4">
        <v>203</v>
      </c>
      <c r="F166" s="4">
        <f>ROUND(Source!Q154,O166)</f>
        <v>876585.45</v>
      </c>
      <c r="G166" s="4" t="s">
        <v>114</v>
      </c>
      <c r="H166" s="4" t="s">
        <v>115</v>
      </c>
      <c r="I166" s="4"/>
      <c r="J166" s="4"/>
      <c r="K166" s="4">
        <v>203</v>
      </c>
      <c r="L166" s="4">
        <v>11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876585.45</v>
      </c>
      <c r="X166" s="4">
        <v>1</v>
      </c>
      <c r="Y166" s="4">
        <v>876585.45</v>
      </c>
      <c r="Z166" s="4"/>
      <c r="AA166" s="4"/>
      <c r="AB166" s="4"/>
    </row>
    <row r="167" spans="1:28" ht="13" x14ac:dyDescent="0.3">
      <c r="A167" s="4">
        <v>50</v>
      </c>
      <c r="B167" s="4">
        <v>0</v>
      </c>
      <c r="C167" s="4">
        <v>0</v>
      </c>
      <c r="D167" s="4">
        <v>1</v>
      </c>
      <c r="E167" s="4">
        <v>231</v>
      </c>
      <c r="F167" s="4">
        <f>ROUND(Source!BB154,O167)</f>
        <v>0</v>
      </c>
      <c r="G167" s="4" t="s">
        <v>116</v>
      </c>
      <c r="H167" s="4" t="s">
        <v>117</v>
      </c>
      <c r="I167" s="4"/>
      <c r="J167" s="4"/>
      <c r="K167" s="4">
        <v>231</v>
      </c>
      <c r="L167" s="4">
        <v>12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8" ht="13" x14ac:dyDescent="0.3">
      <c r="A168" s="4">
        <v>50</v>
      </c>
      <c r="B168" s="4">
        <v>0</v>
      </c>
      <c r="C168" s="4">
        <v>0</v>
      </c>
      <c r="D168" s="4">
        <v>1</v>
      </c>
      <c r="E168" s="4">
        <v>204</v>
      </c>
      <c r="F168" s="4">
        <f>ROUND(Source!R154,O168)</f>
        <v>252672.23</v>
      </c>
      <c r="G168" s="4" t="s">
        <v>118</v>
      </c>
      <c r="H168" s="4" t="s">
        <v>119</v>
      </c>
      <c r="I168" s="4"/>
      <c r="J168" s="4"/>
      <c r="K168" s="4">
        <v>204</v>
      </c>
      <c r="L168" s="4">
        <v>13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252672.23</v>
      </c>
      <c r="X168" s="4">
        <v>1</v>
      </c>
      <c r="Y168" s="4">
        <v>252672.23</v>
      </c>
      <c r="Z168" s="4"/>
      <c r="AA168" s="4"/>
      <c r="AB168" s="4"/>
    </row>
    <row r="169" spans="1:28" ht="13" x14ac:dyDescent="0.3">
      <c r="A169" s="4">
        <v>50</v>
      </c>
      <c r="B169" s="4">
        <v>0</v>
      </c>
      <c r="C169" s="4">
        <v>0</v>
      </c>
      <c r="D169" s="4">
        <v>1</v>
      </c>
      <c r="E169" s="4">
        <v>205</v>
      </c>
      <c r="F169" s="4">
        <f>ROUND(Source!S154,O169)</f>
        <v>5658748.2800000003</v>
      </c>
      <c r="G169" s="4" t="s">
        <v>120</v>
      </c>
      <c r="H169" s="4" t="s">
        <v>121</v>
      </c>
      <c r="I169" s="4"/>
      <c r="J169" s="4"/>
      <c r="K169" s="4">
        <v>205</v>
      </c>
      <c r="L169" s="4">
        <v>14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5658748.2800000003</v>
      </c>
      <c r="X169" s="4">
        <v>1</v>
      </c>
      <c r="Y169" s="4">
        <v>5658748.2800000003</v>
      </c>
      <c r="Z169" s="4"/>
      <c r="AA169" s="4"/>
      <c r="AB169" s="4"/>
    </row>
    <row r="170" spans="1:28" ht="13" x14ac:dyDescent="0.3">
      <c r="A170" s="4">
        <v>50</v>
      </c>
      <c r="B170" s="4">
        <v>0</v>
      </c>
      <c r="C170" s="4">
        <v>0</v>
      </c>
      <c r="D170" s="4">
        <v>1</v>
      </c>
      <c r="E170" s="4">
        <v>232</v>
      </c>
      <c r="F170" s="4">
        <f>ROUND(Source!BC154,O170)</f>
        <v>0</v>
      </c>
      <c r="G170" s="4" t="s">
        <v>122</v>
      </c>
      <c r="H170" s="4" t="s">
        <v>123</v>
      </c>
      <c r="I170" s="4"/>
      <c r="J170" s="4"/>
      <c r="K170" s="4">
        <v>232</v>
      </c>
      <c r="L170" s="4">
        <v>15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8" ht="13" x14ac:dyDescent="0.3">
      <c r="A171" s="4">
        <v>50</v>
      </c>
      <c r="B171" s="4">
        <v>0</v>
      </c>
      <c r="C171" s="4">
        <v>0</v>
      </c>
      <c r="D171" s="4">
        <v>1</v>
      </c>
      <c r="E171" s="4">
        <v>214</v>
      </c>
      <c r="F171" s="4">
        <f>ROUND(Source!AS154,O171)</f>
        <v>0</v>
      </c>
      <c r="G171" s="4" t="s">
        <v>124</v>
      </c>
      <c r="H171" s="4" t="s">
        <v>125</v>
      </c>
      <c r="I171" s="4"/>
      <c r="J171" s="4"/>
      <c r="K171" s="4">
        <v>214</v>
      </c>
      <c r="L171" s="4">
        <v>16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ht="13" x14ac:dyDescent="0.3">
      <c r="A172" s="4">
        <v>50</v>
      </c>
      <c r="B172" s="4">
        <v>0</v>
      </c>
      <c r="C172" s="4">
        <v>0</v>
      </c>
      <c r="D172" s="4">
        <v>1</v>
      </c>
      <c r="E172" s="4">
        <v>215</v>
      </c>
      <c r="F172" s="4">
        <f>ROUND(Source!AT154,O172)</f>
        <v>0</v>
      </c>
      <c r="G172" s="4" t="s">
        <v>126</v>
      </c>
      <c r="H172" s="4" t="s">
        <v>127</v>
      </c>
      <c r="I172" s="4"/>
      <c r="J172" s="4"/>
      <c r="K172" s="4">
        <v>215</v>
      </c>
      <c r="L172" s="4">
        <v>17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ht="13" x14ac:dyDescent="0.3">
      <c r="A173" s="4">
        <v>50</v>
      </c>
      <c r="B173" s="4">
        <v>0</v>
      </c>
      <c r="C173" s="4">
        <v>0</v>
      </c>
      <c r="D173" s="4">
        <v>1</v>
      </c>
      <c r="E173" s="4">
        <v>217</v>
      </c>
      <c r="F173" s="4">
        <f>ROUND(Source!AU154,O173)</f>
        <v>11607418.210000001</v>
      </c>
      <c r="G173" s="4" t="s">
        <v>128</v>
      </c>
      <c r="H173" s="4" t="s">
        <v>129</v>
      </c>
      <c r="I173" s="4"/>
      <c r="J173" s="4"/>
      <c r="K173" s="4">
        <v>217</v>
      </c>
      <c r="L173" s="4">
        <v>18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11607418.210000001</v>
      </c>
      <c r="X173" s="4">
        <v>1</v>
      </c>
      <c r="Y173" s="4">
        <v>11607418.210000001</v>
      </c>
      <c r="Z173" s="4"/>
      <c r="AA173" s="4"/>
      <c r="AB173" s="4"/>
    </row>
    <row r="174" spans="1:28" ht="13" x14ac:dyDescent="0.3">
      <c r="A174" s="4">
        <v>50</v>
      </c>
      <c r="B174" s="4">
        <v>0</v>
      </c>
      <c r="C174" s="4">
        <v>0</v>
      </c>
      <c r="D174" s="4">
        <v>1</v>
      </c>
      <c r="E174" s="4">
        <v>230</v>
      </c>
      <c r="F174" s="4">
        <f>ROUND(Source!BA154,O174)</f>
        <v>0</v>
      </c>
      <c r="G174" s="4" t="s">
        <v>130</v>
      </c>
      <c r="H174" s="4" t="s">
        <v>131</v>
      </c>
      <c r="I174" s="4"/>
      <c r="J174" s="4"/>
      <c r="K174" s="4">
        <v>230</v>
      </c>
      <c r="L174" s="4">
        <v>19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8" ht="13" x14ac:dyDescent="0.3">
      <c r="A175" s="4">
        <v>50</v>
      </c>
      <c r="B175" s="4">
        <v>0</v>
      </c>
      <c r="C175" s="4">
        <v>0</v>
      </c>
      <c r="D175" s="4">
        <v>1</v>
      </c>
      <c r="E175" s="4">
        <v>206</v>
      </c>
      <c r="F175" s="4">
        <f>ROUND(Source!T154,O175)</f>
        <v>0</v>
      </c>
      <c r="G175" s="4" t="s">
        <v>132</v>
      </c>
      <c r="H175" s="4" t="s">
        <v>133</v>
      </c>
      <c r="I175" s="4"/>
      <c r="J175" s="4"/>
      <c r="K175" s="4">
        <v>206</v>
      </c>
      <c r="L175" s="4">
        <v>20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 ht="13" x14ac:dyDescent="0.3">
      <c r="A176" s="4">
        <v>50</v>
      </c>
      <c r="B176" s="4">
        <v>0</v>
      </c>
      <c r="C176" s="4">
        <v>0</v>
      </c>
      <c r="D176" s="4">
        <v>1</v>
      </c>
      <c r="E176" s="4">
        <v>207</v>
      </c>
      <c r="F176" s="4">
        <f>Source!U154</f>
        <v>12442.574989999999</v>
      </c>
      <c r="G176" s="4" t="s">
        <v>134</v>
      </c>
      <c r="H176" s="4" t="s">
        <v>135</v>
      </c>
      <c r="I176" s="4"/>
      <c r="J176" s="4"/>
      <c r="K176" s="4">
        <v>207</v>
      </c>
      <c r="L176" s="4">
        <v>21</v>
      </c>
      <c r="M176" s="4">
        <v>3</v>
      </c>
      <c r="N176" s="4" t="s">
        <v>3</v>
      </c>
      <c r="O176" s="4">
        <v>-1</v>
      </c>
      <c r="P176" s="4"/>
      <c r="Q176" s="4"/>
      <c r="R176" s="4"/>
      <c r="S176" s="4"/>
      <c r="T176" s="4"/>
      <c r="U176" s="4"/>
      <c r="V176" s="4"/>
      <c r="W176" s="4">
        <v>12442.574989999999</v>
      </c>
      <c r="X176" s="4">
        <v>1</v>
      </c>
      <c r="Y176" s="4">
        <v>12442.574989999999</v>
      </c>
      <c r="Z176" s="4"/>
      <c r="AA176" s="4"/>
      <c r="AB176" s="4"/>
    </row>
    <row r="177" spans="1:206" ht="13" x14ac:dyDescent="0.3">
      <c r="A177" s="4">
        <v>50</v>
      </c>
      <c r="B177" s="4">
        <v>0</v>
      </c>
      <c r="C177" s="4">
        <v>0</v>
      </c>
      <c r="D177" s="4">
        <v>1</v>
      </c>
      <c r="E177" s="4">
        <v>208</v>
      </c>
      <c r="F177" s="4">
        <f>Source!V154</f>
        <v>0</v>
      </c>
      <c r="G177" s="4" t="s">
        <v>136</v>
      </c>
      <c r="H177" s="4" t="s">
        <v>137</v>
      </c>
      <c r="I177" s="4"/>
      <c r="J177" s="4"/>
      <c r="K177" s="4">
        <v>208</v>
      </c>
      <c r="L177" s="4">
        <v>22</v>
      </c>
      <c r="M177" s="4">
        <v>3</v>
      </c>
      <c r="N177" s="4" t="s">
        <v>3</v>
      </c>
      <c r="O177" s="4">
        <v>-1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06" ht="13" x14ac:dyDescent="0.3">
      <c r="A178" s="4">
        <v>50</v>
      </c>
      <c r="B178" s="4">
        <v>0</v>
      </c>
      <c r="C178" s="4">
        <v>0</v>
      </c>
      <c r="D178" s="4">
        <v>1</v>
      </c>
      <c r="E178" s="4">
        <v>209</v>
      </c>
      <c r="F178" s="4">
        <f>ROUND(Source!W154,O178)</f>
        <v>0</v>
      </c>
      <c r="G178" s="4" t="s">
        <v>138</v>
      </c>
      <c r="H178" s="4" t="s">
        <v>139</v>
      </c>
      <c r="I178" s="4"/>
      <c r="J178" s="4"/>
      <c r="K178" s="4">
        <v>209</v>
      </c>
      <c r="L178" s="4">
        <v>23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06" ht="13" x14ac:dyDescent="0.3">
      <c r="A179" s="4">
        <v>50</v>
      </c>
      <c r="B179" s="4">
        <v>0</v>
      </c>
      <c r="C179" s="4">
        <v>0</v>
      </c>
      <c r="D179" s="4">
        <v>1</v>
      </c>
      <c r="E179" s="4">
        <v>233</v>
      </c>
      <c r="F179" s="4">
        <f>ROUND(Source!BD154,O179)</f>
        <v>0</v>
      </c>
      <c r="G179" s="4" t="s">
        <v>140</v>
      </c>
      <c r="H179" s="4" t="s">
        <v>141</v>
      </c>
      <c r="I179" s="4"/>
      <c r="J179" s="4"/>
      <c r="K179" s="4">
        <v>233</v>
      </c>
      <c r="L179" s="4">
        <v>24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06" ht="13" x14ac:dyDescent="0.3">
      <c r="A180" s="4">
        <v>50</v>
      </c>
      <c r="B180" s="4">
        <v>0</v>
      </c>
      <c r="C180" s="4">
        <v>0</v>
      </c>
      <c r="D180" s="4">
        <v>1</v>
      </c>
      <c r="E180" s="4">
        <v>210</v>
      </c>
      <c r="F180" s="4">
        <f>ROUND(Source!X154,O180)</f>
        <v>3961123.81</v>
      </c>
      <c r="G180" s="4" t="s">
        <v>142</v>
      </c>
      <c r="H180" s="4" t="s">
        <v>143</v>
      </c>
      <c r="I180" s="4"/>
      <c r="J180" s="4"/>
      <c r="K180" s="4">
        <v>210</v>
      </c>
      <c r="L180" s="4">
        <v>25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3961123.81</v>
      </c>
      <c r="X180" s="4">
        <v>1</v>
      </c>
      <c r="Y180" s="4">
        <v>3961123.81</v>
      </c>
      <c r="Z180" s="4"/>
      <c r="AA180" s="4"/>
      <c r="AB180" s="4"/>
    </row>
    <row r="181" spans="1:206" ht="13" x14ac:dyDescent="0.3">
      <c r="A181" s="4">
        <v>50</v>
      </c>
      <c r="B181" s="4">
        <v>0</v>
      </c>
      <c r="C181" s="4">
        <v>0</v>
      </c>
      <c r="D181" s="4">
        <v>1</v>
      </c>
      <c r="E181" s="4">
        <v>211</v>
      </c>
      <c r="F181" s="4">
        <f>ROUND(Source!Y154,O181)</f>
        <v>565874.82999999996</v>
      </c>
      <c r="G181" s="4" t="s">
        <v>144</v>
      </c>
      <c r="H181" s="4" t="s">
        <v>145</v>
      </c>
      <c r="I181" s="4"/>
      <c r="J181" s="4"/>
      <c r="K181" s="4">
        <v>211</v>
      </c>
      <c r="L181" s="4">
        <v>26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565874.82999999996</v>
      </c>
      <c r="X181" s="4">
        <v>1</v>
      </c>
      <c r="Y181" s="4">
        <v>565874.82999999996</v>
      </c>
      <c r="Z181" s="4"/>
      <c r="AA181" s="4"/>
      <c r="AB181" s="4"/>
    </row>
    <row r="182" spans="1:206" ht="13" x14ac:dyDescent="0.3">
      <c r="A182" s="4">
        <v>50</v>
      </c>
      <c r="B182" s="4">
        <v>0</v>
      </c>
      <c r="C182" s="4">
        <v>0</v>
      </c>
      <c r="D182" s="4">
        <v>1</v>
      </c>
      <c r="E182" s="4">
        <v>224</v>
      </c>
      <c r="F182" s="4">
        <f>ROUND(Source!AR154,O182)</f>
        <v>11607418.210000001</v>
      </c>
      <c r="G182" s="4" t="s">
        <v>146</v>
      </c>
      <c r="H182" s="4" t="s">
        <v>147</v>
      </c>
      <c r="I182" s="4"/>
      <c r="J182" s="4"/>
      <c r="K182" s="4">
        <v>224</v>
      </c>
      <c r="L182" s="4">
        <v>27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11607418.210000001</v>
      </c>
      <c r="X182" s="4">
        <v>1</v>
      </c>
      <c r="Y182" s="4">
        <v>11607418.210000001</v>
      </c>
      <c r="Z182" s="4"/>
      <c r="AA182" s="4"/>
      <c r="AB182" s="4"/>
    </row>
    <row r="184" spans="1:206" ht="13" x14ac:dyDescent="0.3">
      <c r="A184" s="2">
        <v>51</v>
      </c>
      <c r="B184" s="2">
        <f>B24</f>
        <v>1</v>
      </c>
      <c r="C184" s="2">
        <f>A24</f>
        <v>4</v>
      </c>
      <c r="D184" s="2">
        <f>ROW(A24)</f>
        <v>24</v>
      </c>
      <c r="E184" s="2"/>
      <c r="F184" s="2" t="str">
        <f>IF(F24&lt;&gt;"",F24,"")</f>
        <v>Новый раздел</v>
      </c>
      <c r="G184" s="2" t="str">
        <f>IF(G24&lt;&gt;"",G24,"")</f>
        <v>Раздел: Основная зона</v>
      </c>
      <c r="H184" s="2">
        <v>0</v>
      </c>
      <c r="I184" s="2"/>
      <c r="J184" s="2"/>
      <c r="K184" s="2"/>
      <c r="L184" s="2"/>
      <c r="M184" s="2"/>
      <c r="N184" s="2"/>
      <c r="O184" s="2">
        <f t="shared" ref="O184:T184" si="152">ROUND(O49+O99+O154+AB184,2)</f>
        <v>47340883.270000003</v>
      </c>
      <c r="P184" s="2">
        <f t="shared" si="152"/>
        <v>3684583.08</v>
      </c>
      <c r="Q184" s="2">
        <f t="shared" si="152"/>
        <v>28176187.800000001</v>
      </c>
      <c r="R184" s="2">
        <f t="shared" si="152"/>
        <v>12808365.640000001</v>
      </c>
      <c r="S184" s="2">
        <f t="shared" si="152"/>
        <v>15480112.390000001</v>
      </c>
      <c r="T184" s="2">
        <f t="shared" si="152"/>
        <v>0</v>
      </c>
      <c r="U184" s="2">
        <f>U49+U99+U154+AH184</f>
        <v>34195.882076000002</v>
      </c>
      <c r="V184" s="2">
        <f>V49+V99+V154+AI184</f>
        <v>0</v>
      </c>
      <c r="W184" s="2">
        <f>ROUND(W49+W99+W154+AJ184,2)</f>
        <v>0</v>
      </c>
      <c r="X184" s="2">
        <f>ROUND(X49+X99+X154+AK184,2)</f>
        <v>10836078.710000001</v>
      </c>
      <c r="Y184" s="2">
        <f>ROUND(Y49+Y99+Y154+AL184,2)</f>
        <v>1548011.27</v>
      </c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>
        <f t="shared" ref="AO184:BD184" si="153">ROUND(AO49+AO99+AO154+BX184,2)</f>
        <v>0</v>
      </c>
      <c r="AP184" s="2">
        <f t="shared" si="153"/>
        <v>0</v>
      </c>
      <c r="AQ184" s="2">
        <f t="shared" si="153"/>
        <v>0</v>
      </c>
      <c r="AR184" s="2">
        <f t="shared" si="153"/>
        <v>73558008.109999999</v>
      </c>
      <c r="AS184" s="2">
        <f t="shared" si="153"/>
        <v>0</v>
      </c>
      <c r="AT184" s="2">
        <f t="shared" si="153"/>
        <v>0</v>
      </c>
      <c r="AU184" s="2">
        <f t="shared" si="153"/>
        <v>73558008.109999999</v>
      </c>
      <c r="AV184" s="2">
        <f t="shared" si="153"/>
        <v>3684583.08</v>
      </c>
      <c r="AW184" s="2">
        <f t="shared" si="153"/>
        <v>3684583.08</v>
      </c>
      <c r="AX184" s="2">
        <f t="shared" si="153"/>
        <v>0</v>
      </c>
      <c r="AY184" s="2">
        <f t="shared" si="153"/>
        <v>3684583.08</v>
      </c>
      <c r="AZ184" s="2">
        <f t="shared" si="153"/>
        <v>0</v>
      </c>
      <c r="BA184" s="2">
        <f t="shared" si="153"/>
        <v>0</v>
      </c>
      <c r="BB184" s="2">
        <f t="shared" si="153"/>
        <v>0</v>
      </c>
      <c r="BC184" s="2">
        <f t="shared" si="153"/>
        <v>0</v>
      </c>
      <c r="BD184" s="2">
        <f t="shared" si="153"/>
        <v>0</v>
      </c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3"/>
      <c r="DH184" s="3"/>
      <c r="DI184" s="3"/>
      <c r="DJ184" s="3"/>
      <c r="DK184" s="3"/>
      <c r="DL184" s="3"/>
      <c r="DM184" s="3"/>
      <c r="DN184" s="3"/>
      <c r="DO184" s="3"/>
      <c r="DP184" s="3"/>
      <c r="DQ184" s="3"/>
      <c r="DR184" s="3"/>
      <c r="DS184" s="3"/>
      <c r="DT184" s="3"/>
      <c r="DU184" s="3"/>
      <c r="DV184" s="3"/>
      <c r="DW184" s="3"/>
      <c r="DX184" s="3"/>
      <c r="DY184" s="3"/>
      <c r="DZ184" s="3"/>
      <c r="EA184" s="3"/>
      <c r="EB184" s="3"/>
      <c r="EC184" s="3"/>
      <c r="ED184" s="3"/>
      <c r="EE184" s="3"/>
      <c r="EF184" s="3"/>
      <c r="EG184" s="3"/>
      <c r="EH184" s="3"/>
      <c r="EI184" s="3"/>
      <c r="EJ184" s="3"/>
      <c r="EK184" s="3"/>
      <c r="EL184" s="3"/>
      <c r="EM184" s="3"/>
      <c r="EN184" s="3"/>
      <c r="EO184" s="3"/>
      <c r="EP184" s="3"/>
      <c r="EQ184" s="3"/>
      <c r="ER184" s="3"/>
      <c r="ES184" s="3"/>
      <c r="ET184" s="3"/>
      <c r="EU184" s="3"/>
      <c r="EV184" s="3"/>
      <c r="EW184" s="3"/>
      <c r="EX184" s="3"/>
      <c r="EY184" s="3"/>
      <c r="EZ184" s="3"/>
      <c r="FA184" s="3"/>
      <c r="FB184" s="3"/>
      <c r="FC184" s="3"/>
      <c r="FD184" s="3"/>
      <c r="FE184" s="3"/>
      <c r="FF184" s="3"/>
      <c r="FG184" s="3"/>
      <c r="FH184" s="3"/>
      <c r="FI184" s="3"/>
      <c r="FJ184" s="3"/>
      <c r="FK184" s="3"/>
      <c r="FL184" s="3"/>
      <c r="FM184" s="3"/>
      <c r="FN184" s="3"/>
      <c r="FO184" s="3"/>
      <c r="FP184" s="3"/>
      <c r="FQ184" s="3"/>
      <c r="FR184" s="3"/>
      <c r="FS184" s="3"/>
      <c r="FT184" s="3"/>
      <c r="FU184" s="3"/>
      <c r="FV184" s="3"/>
      <c r="FW184" s="3"/>
      <c r="FX184" s="3"/>
      <c r="FY184" s="3"/>
      <c r="FZ184" s="3"/>
      <c r="GA184" s="3"/>
      <c r="GB184" s="3"/>
      <c r="GC184" s="3"/>
      <c r="GD184" s="3"/>
      <c r="GE184" s="3"/>
      <c r="GF184" s="3"/>
      <c r="GG184" s="3"/>
      <c r="GH184" s="3"/>
      <c r="GI184" s="3"/>
      <c r="GJ184" s="3"/>
      <c r="GK184" s="3"/>
      <c r="GL184" s="3"/>
      <c r="GM184" s="3"/>
      <c r="GN184" s="3"/>
      <c r="GO184" s="3"/>
      <c r="GP184" s="3"/>
      <c r="GQ184" s="3"/>
      <c r="GR184" s="3"/>
      <c r="GS184" s="3"/>
      <c r="GT184" s="3"/>
      <c r="GU184" s="3"/>
      <c r="GV184" s="3"/>
      <c r="GW184" s="3"/>
      <c r="GX184" s="3">
        <v>0</v>
      </c>
    </row>
    <row r="186" spans="1:206" ht="13" x14ac:dyDescent="0.3">
      <c r="A186" s="4">
        <v>50</v>
      </c>
      <c r="B186" s="4">
        <v>0</v>
      </c>
      <c r="C186" s="4">
        <v>0</v>
      </c>
      <c r="D186" s="4">
        <v>1</v>
      </c>
      <c r="E186" s="4">
        <v>201</v>
      </c>
      <c r="F186" s="4">
        <f>ROUND(Source!O184,O186)</f>
        <v>47340883.270000003</v>
      </c>
      <c r="G186" s="4" t="s">
        <v>94</v>
      </c>
      <c r="H186" s="4" t="s">
        <v>95</v>
      </c>
      <c r="I186" s="4"/>
      <c r="J186" s="4"/>
      <c r="K186" s="4">
        <v>201</v>
      </c>
      <c r="L186" s="4">
        <v>1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47340883.270000003</v>
      </c>
      <c r="X186" s="4">
        <v>1</v>
      </c>
      <c r="Y186" s="4">
        <v>47340883.270000003</v>
      </c>
      <c r="Z186" s="4"/>
      <c r="AA186" s="4"/>
      <c r="AB186" s="4"/>
    </row>
    <row r="187" spans="1:206" ht="13" x14ac:dyDescent="0.3">
      <c r="A187" s="4">
        <v>50</v>
      </c>
      <c r="B187" s="4">
        <v>0</v>
      </c>
      <c r="C187" s="4">
        <v>0</v>
      </c>
      <c r="D187" s="4">
        <v>1</v>
      </c>
      <c r="E187" s="4">
        <v>202</v>
      </c>
      <c r="F187" s="4">
        <f>ROUND(Source!P184,O187)</f>
        <v>3684583.08</v>
      </c>
      <c r="G187" s="4" t="s">
        <v>96</v>
      </c>
      <c r="H187" s="4" t="s">
        <v>97</v>
      </c>
      <c r="I187" s="4"/>
      <c r="J187" s="4"/>
      <c r="K187" s="4">
        <v>202</v>
      </c>
      <c r="L187" s="4">
        <v>2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3684583.08</v>
      </c>
      <c r="X187" s="4">
        <v>1</v>
      </c>
      <c r="Y187" s="4">
        <v>3684583.08</v>
      </c>
      <c r="Z187" s="4"/>
      <c r="AA187" s="4"/>
      <c r="AB187" s="4"/>
    </row>
    <row r="188" spans="1:206" ht="13" x14ac:dyDescent="0.3">
      <c r="A188" s="4">
        <v>50</v>
      </c>
      <c r="B188" s="4">
        <v>0</v>
      </c>
      <c r="C188" s="4">
        <v>0</v>
      </c>
      <c r="D188" s="4">
        <v>1</v>
      </c>
      <c r="E188" s="4">
        <v>222</v>
      </c>
      <c r="F188" s="4">
        <f>ROUND(Source!AO184,O188)</f>
        <v>0</v>
      </c>
      <c r="G188" s="4" t="s">
        <v>98</v>
      </c>
      <c r="H188" s="4" t="s">
        <v>99</v>
      </c>
      <c r="I188" s="4"/>
      <c r="J188" s="4"/>
      <c r="K188" s="4">
        <v>222</v>
      </c>
      <c r="L188" s="4">
        <v>3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06" ht="13" x14ac:dyDescent="0.3">
      <c r="A189" s="4">
        <v>50</v>
      </c>
      <c r="B189" s="4">
        <v>0</v>
      </c>
      <c r="C189" s="4">
        <v>0</v>
      </c>
      <c r="D189" s="4">
        <v>1</v>
      </c>
      <c r="E189" s="4">
        <v>225</v>
      </c>
      <c r="F189" s="4">
        <f>ROUND(Source!AV184,O189)</f>
        <v>3684583.08</v>
      </c>
      <c r="G189" s="4" t="s">
        <v>100</v>
      </c>
      <c r="H189" s="4" t="s">
        <v>101</v>
      </c>
      <c r="I189" s="4"/>
      <c r="J189" s="4"/>
      <c r="K189" s="4">
        <v>225</v>
      </c>
      <c r="L189" s="4">
        <v>4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3684583.08</v>
      </c>
      <c r="X189" s="4">
        <v>1</v>
      </c>
      <c r="Y189" s="4">
        <v>3684583.08</v>
      </c>
      <c r="Z189" s="4"/>
      <c r="AA189" s="4"/>
      <c r="AB189" s="4"/>
    </row>
    <row r="190" spans="1:206" ht="13" x14ac:dyDescent="0.3">
      <c r="A190" s="4">
        <v>50</v>
      </c>
      <c r="B190" s="4">
        <v>0</v>
      </c>
      <c r="C190" s="4">
        <v>0</v>
      </c>
      <c r="D190" s="4">
        <v>1</v>
      </c>
      <c r="E190" s="4">
        <v>226</v>
      </c>
      <c r="F190" s="4">
        <f>ROUND(Source!AW184,O190)</f>
        <v>3684583.08</v>
      </c>
      <c r="G190" s="4" t="s">
        <v>102</v>
      </c>
      <c r="H190" s="4" t="s">
        <v>103</v>
      </c>
      <c r="I190" s="4"/>
      <c r="J190" s="4"/>
      <c r="K190" s="4">
        <v>226</v>
      </c>
      <c r="L190" s="4">
        <v>5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3684583.08</v>
      </c>
      <c r="X190" s="4">
        <v>1</v>
      </c>
      <c r="Y190" s="4">
        <v>3684583.08</v>
      </c>
      <c r="Z190" s="4"/>
      <c r="AA190" s="4"/>
      <c r="AB190" s="4"/>
    </row>
    <row r="191" spans="1:206" ht="13" x14ac:dyDescent="0.3">
      <c r="A191" s="4">
        <v>50</v>
      </c>
      <c r="B191" s="4">
        <v>0</v>
      </c>
      <c r="C191" s="4">
        <v>0</v>
      </c>
      <c r="D191" s="4">
        <v>1</v>
      </c>
      <c r="E191" s="4">
        <v>227</v>
      </c>
      <c r="F191" s="4">
        <f>ROUND(Source!AX184,O191)</f>
        <v>0</v>
      </c>
      <c r="G191" s="4" t="s">
        <v>104</v>
      </c>
      <c r="H191" s="4" t="s">
        <v>105</v>
      </c>
      <c r="I191" s="4"/>
      <c r="J191" s="4"/>
      <c r="K191" s="4">
        <v>227</v>
      </c>
      <c r="L191" s="4">
        <v>6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06" ht="13" x14ac:dyDescent="0.3">
      <c r="A192" s="4">
        <v>50</v>
      </c>
      <c r="B192" s="4">
        <v>0</v>
      </c>
      <c r="C192" s="4">
        <v>0</v>
      </c>
      <c r="D192" s="4">
        <v>1</v>
      </c>
      <c r="E192" s="4">
        <v>228</v>
      </c>
      <c r="F192" s="4">
        <f>ROUND(Source!AY184,O192)</f>
        <v>3684583.08</v>
      </c>
      <c r="G192" s="4" t="s">
        <v>106</v>
      </c>
      <c r="H192" s="4" t="s">
        <v>107</v>
      </c>
      <c r="I192" s="4"/>
      <c r="J192" s="4"/>
      <c r="K192" s="4">
        <v>228</v>
      </c>
      <c r="L192" s="4">
        <v>7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3684583.08</v>
      </c>
      <c r="X192" s="4">
        <v>1</v>
      </c>
      <c r="Y192" s="4">
        <v>3684583.08</v>
      </c>
      <c r="Z192" s="4"/>
      <c r="AA192" s="4"/>
      <c r="AB192" s="4"/>
    </row>
    <row r="193" spans="1:28" ht="13" x14ac:dyDescent="0.3">
      <c r="A193" s="4">
        <v>50</v>
      </c>
      <c r="B193" s="4">
        <v>0</v>
      </c>
      <c r="C193" s="4">
        <v>0</v>
      </c>
      <c r="D193" s="4">
        <v>1</v>
      </c>
      <c r="E193" s="4">
        <v>216</v>
      </c>
      <c r="F193" s="4">
        <f>ROUND(Source!AP184,O193)</f>
        <v>0</v>
      </c>
      <c r="G193" s="4" t="s">
        <v>108</v>
      </c>
      <c r="H193" s="4" t="s">
        <v>109</v>
      </c>
      <c r="I193" s="4"/>
      <c r="J193" s="4"/>
      <c r="K193" s="4">
        <v>216</v>
      </c>
      <c r="L193" s="4">
        <v>8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8" ht="13" x14ac:dyDescent="0.3">
      <c r="A194" s="4">
        <v>50</v>
      </c>
      <c r="B194" s="4">
        <v>0</v>
      </c>
      <c r="C194" s="4">
        <v>0</v>
      </c>
      <c r="D194" s="4">
        <v>1</v>
      </c>
      <c r="E194" s="4">
        <v>223</v>
      </c>
      <c r="F194" s="4">
        <f>ROUND(Source!AQ184,O194)</f>
        <v>0</v>
      </c>
      <c r="G194" s="4" t="s">
        <v>110</v>
      </c>
      <c r="H194" s="4" t="s">
        <v>111</v>
      </c>
      <c r="I194" s="4"/>
      <c r="J194" s="4"/>
      <c r="K194" s="4">
        <v>223</v>
      </c>
      <c r="L194" s="4">
        <v>9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ht="13" x14ac:dyDescent="0.3">
      <c r="A195" s="4">
        <v>50</v>
      </c>
      <c r="B195" s="4">
        <v>0</v>
      </c>
      <c r="C195" s="4">
        <v>0</v>
      </c>
      <c r="D195" s="4">
        <v>1</v>
      </c>
      <c r="E195" s="4">
        <v>229</v>
      </c>
      <c r="F195" s="4">
        <f>ROUND(Source!AZ184,O195)</f>
        <v>0</v>
      </c>
      <c r="G195" s="4" t="s">
        <v>112</v>
      </c>
      <c r="H195" s="4" t="s">
        <v>113</v>
      </c>
      <c r="I195" s="4"/>
      <c r="J195" s="4"/>
      <c r="K195" s="4">
        <v>229</v>
      </c>
      <c r="L195" s="4">
        <v>10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ht="13" x14ac:dyDescent="0.3">
      <c r="A196" s="4">
        <v>50</v>
      </c>
      <c r="B196" s="4">
        <v>0</v>
      </c>
      <c r="C196" s="4">
        <v>0</v>
      </c>
      <c r="D196" s="4">
        <v>1</v>
      </c>
      <c r="E196" s="4">
        <v>203</v>
      </c>
      <c r="F196" s="4">
        <f>ROUND(Source!Q184,O196)</f>
        <v>28176187.800000001</v>
      </c>
      <c r="G196" s="4" t="s">
        <v>114</v>
      </c>
      <c r="H196" s="4" t="s">
        <v>115</v>
      </c>
      <c r="I196" s="4"/>
      <c r="J196" s="4"/>
      <c r="K196" s="4">
        <v>203</v>
      </c>
      <c r="L196" s="4">
        <v>11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28176187.800000001</v>
      </c>
      <c r="X196" s="4">
        <v>1</v>
      </c>
      <c r="Y196" s="4">
        <v>28176187.800000001</v>
      </c>
      <c r="Z196" s="4"/>
      <c r="AA196" s="4"/>
      <c r="AB196" s="4"/>
    </row>
    <row r="197" spans="1:28" ht="13" x14ac:dyDescent="0.3">
      <c r="A197" s="4">
        <v>50</v>
      </c>
      <c r="B197" s="4">
        <v>0</v>
      </c>
      <c r="C197" s="4">
        <v>0</v>
      </c>
      <c r="D197" s="4">
        <v>1</v>
      </c>
      <c r="E197" s="4">
        <v>231</v>
      </c>
      <c r="F197" s="4">
        <f>ROUND(Source!BB184,O197)</f>
        <v>0</v>
      </c>
      <c r="G197" s="4" t="s">
        <v>116</v>
      </c>
      <c r="H197" s="4" t="s">
        <v>117</v>
      </c>
      <c r="I197" s="4"/>
      <c r="J197" s="4"/>
      <c r="K197" s="4">
        <v>231</v>
      </c>
      <c r="L197" s="4">
        <v>12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ht="13" x14ac:dyDescent="0.3">
      <c r="A198" s="4">
        <v>50</v>
      </c>
      <c r="B198" s="4">
        <v>0</v>
      </c>
      <c r="C198" s="4">
        <v>0</v>
      </c>
      <c r="D198" s="4">
        <v>1</v>
      </c>
      <c r="E198" s="4">
        <v>204</v>
      </c>
      <c r="F198" s="4">
        <f>ROUND(Source!R184,O198)</f>
        <v>12808365.640000001</v>
      </c>
      <c r="G198" s="4" t="s">
        <v>118</v>
      </c>
      <c r="H198" s="4" t="s">
        <v>119</v>
      </c>
      <c r="I198" s="4"/>
      <c r="J198" s="4"/>
      <c r="K198" s="4">
        <v>204</v>
      </c>
      <c r="L198" s="4">
        <v>13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12808365.640000001</v>
      </c>
      <c r="X198" s="4">
        <v>1</v>
      </c>
      <c r="Y198" s="4">
        <v>12808365.640000001</v>
      </c>
      <c r="Z198" s="4"/>
      <c r="AA198" s="4"/>
      <c r="AB198" s="4"/>
    </row>
    <row r="199" spans="1:28" ht="13" x14ac:dyDescent="0.3">
      <c r="A199" s="4">
        <v>50</v>
      </c>
      <c r="B199" s="4">
        <v>0</v>
      </c>
      <c r="C199" s="4">
        <v>0</v>
      </c>
      <c r="D199" s="4">
        <v>1</v>
      </c>
      <c r="E199" s="4">
        <v>205</v>
      </c>
      <c r="F199" s="4">
        <f>ROUND(Source!S184,O199)</f>
        <v>15480112.390000001</v>
      </c>
      <c r="G199" s="4" t="s">
        <v>120</v>
      </c>
      <c r="H199" s="4" t="s">
        <v>121</v>
      </c>
      <c r="I199" s="4"/>
      <c r="J199" s="4"/>
      <c r="K199" s="4">
        <v>205</v>
      </c>
      <c r="L199" s="4">
        <v>14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15480112.390000001</v>
      </c>
      <c r="X199" s="4">
        <v>1</v>
      </c>
      <c r="Y199" s="4">
        <v>15480112.390000001</v>
      </c>
      <c r="Z199" s="4"/>
      <c r="AA199" s="4"/>
      <c r="AB199" s="4"/>
    </row>
    <row r="200" spans="1:28" ht="13" x14ac:dyDescent="0.3">
      <c r="A200" s="4">
        <v>50</v>
      </c>
      <c r="B200" s="4">
        <v>0</v>
      </c>
      <c r="C200" s="4">
        <v>0</v>
      </c>
      <c r="D200" s="4">
        <v>1</v>
      </c>
      <c r="E200" s="4">
        <v>232</v>
      </c>
      <c r="F200" s="4">
        <f>ROUND(Source!BC184,O200)</f>
        <v>0</v>
      </c>
      <c r="G200" s="4" t="s">
        <v>122</v>
      </c>
      <c r="H200" s="4" t="s">
        <v>123</v>
      </c>
      <c r="I200" s="4"/>
      <c r="J200" s="4"/>
      <c r="K200" s="4">
        <v>232</v>
      </c>
      <c r="L200" s="4">
        <v>15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ht="13" x14ac:dyDescent="0.3">
      <c r="A201" s="4">
        <v>50</v>
      </c>
      <c r="B201" s="4">
        <v>0</v>
      </c>
      <c r="C201" s="4">
        <v>0</v>
      </c>
      <c r="D201" s="4">
        <v>1</v>
      </c>
      <c r="E201" s="4">
        <v>214</v>
      </c>
      <c r="F201" s="4">
        <f>ROUND(Source!AS184,O201)</f>
        <v>0</v>
      </c>
      <c r="G201" s="4" t="s">
        <v>124</v>
      </c>
      <c r="H201" s="4" t="s">
        <v>125</v>
      </c>
      <c r="I201" s="4"/>
      <c r="J201" s="4"/>
      <c r="K201" s="4">
        <v>214</v>
      </c>
      <c r="L201" s="4">
        <v>16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ht="13" x14ac:dyDescent="0.3">
      <c r="A202" s="4">
        <v>50</v>
      </c>
      <c r="B202" s="4">
        <v>0</v>
      </c>
      <c r="C202" s="4">
        <v>0</v>
      </c>
      <c r="D202" s="4">
        <v>1</v>
      </c>
      <c r="E202" s="4">
        <v>215</v>
      </c>
      <c r="F202" s="4">
        <f>ROUND(Source!AT184,O202)</f>
        <v>0</v>
      </c>
      <c r="G202" s="4" t="s">
        <v>126</v>
      </c>
      <c r="H202" s="4" t="s">
        <v>127</v>
      </c>
      <c r="I202" s="4"/>
      <c r="J202" s="4"/>
      <c r="K202" s="4">
        <v>215</v>
      </c>
      <c r="L202" s="4">
        <v>17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ht="13" x14ac:dyDescent="0.3">
      <c r="A203" s="4">
        <v>50</v>
      </c>
      <c r="B203" s="4">
        <v>0</v>
      </c>
      <c r="C203" s="4">
        <v>0</v>
      </c>
      <c r="D203" s="4">
        <v>1</v>
      </c>
      <c r="E203" s="4">
        <v>217</v>
      </c>
      <c r="F203" s="4">
        <f>ROUND(Source!AU184,O203)</f>
        <v>73558008.109999999</v>
      </c>
      <c r="G203" s="4" t="s">
        <v>128</v>
      </c>
      <c r="H203" s="4" t="s">
        <v>129</v>
      </c>
      <c r="I203" s="4"/>
      <c r="J203" s="4"/>
      <c r="K203" s="4">
        <v>217</v>
      </c>
      <c r="L203" s="4">
        <v>18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73558008.109999999</v>
      </c>
      <c r="X203" s="4">
        <v>1</v>
      </c>
      <c r="Y203" s="4">
        <v>73558008.109999999</v>
      </c>
      <c r="Z203" s="4"/>
      <c r="AA203" s="4"/>
      <c r="AB203" s="4"/>
    </row>
    <row r="204" spans="1:28" ht="13" x14ac:dyDescent="0.3">
      <c r="A204" s="4">
        <v>50</v>
      </c>
      <c r="B204" s="4">
        <v>0</v>
      </c>
      <c r="C204" s="4">
        <v>0</v>
      </c>
      <c r="D204" s="4">
        <v>1</v>
      </c>
      <c r="E204" s="4">
        <v>230</v>
      </c>
      <c r="F204" s="4">
        <f>ROUND(Source!BA184,O204)</f>
        <v>0</v>
      </c>
      <c r="G204" s="4" t="s">
        <v>130</v>
      </c>
      <c r="H204" s="4" t="s">
        <v>131</v>
      </c>
      <c r="I204" s="4"/>
      <c r="J204" s="4"/>
      <c r="K204" s="4">
        <v>230</v>
      </c>
      <c r="L204" s="4">
        <v>19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ht="13" x14ac:dyDescent="0.3">
      <c r="A205" s="4">
        <v>50</v>
      </c>
      <c r="B205" s="4">
        <v>0</v>
      </c>
      <c r="C205" s="4">
        <v>0</v>
      </c>
      <c r="D205" s="4">
        <v>1</v>
      </c>
      <c r="E205" s="4">
        <v>206</v>
      </c>
      <c r="F205" s="4">
        <f>ROUND(Source!T184,O205)</f>
        <v>0</v>
      </c>
      <c r="G205" s="4" t="s">
        <v>132</v>
      </c>
      <c r="H205" s="4" t="s">
        <v>133</v>
      </c>
      <c r="I205" s="4"/>
      <c r="J205" s="4"/>
      <c r="K205" s="4">
        <v>206</v>
      </c>
      <c r="L205" s="4">
        <v>20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ht="13" x14ac:dyDescent="0.3">
      <c r="A206" s="4">
        <v>50</v>
      </c>
      <c r="B206" s="4">
        <v>0</v>
      </c>
      <c r="C206" s="4">
        <v>0</v>
      </c>
      <c r="D206" s="4">
        <v>1</v>
      </c>
      <c r="E206" s="4">
        <v>207</v>
      </c>
      <c r="F206" s="4">
        <f>Source!U184</f>
        <v>34195.882076000002</v>
      </c>
      <c r="G206" s="4" t="s">
        <v>134</v>
      </c>
      <c r="H206" s="4" t="s">
        <v>135</v>
      </c>
      <c r="I206" s="4"/>
      <c r="J206" s="4"/>
      <c r="K206" s="4">
        <v>207</v>
      </c>
      <c r="L206" s="4">
        <v>21</v>
      </c>
      <c r="M206" s="4">
        <v>3</v>
      </c>
      <c r="N206" s="4" t="s">
        <v>3</v>
      </c>
      <c r="O206" s="4">
        <v>-1</v>
      </c>
      <c r="P206" s="4"/>
      <c r="Q206" s="4"/>
      <c r="R206" s="4"/>
      <c r="S206" s="4"/>
      <c r="T206" s="4"/>
      <c r="U206" s="4"/>
      <c r="V206" s="4"/>
      <c r="W206" s="4">
        <v>34195.882076000009</v>
      </c>
      <c r="X206" s="4">
        <v>1</v>
      </c>
      <c r="Y206" s="4">
        <v>34195.882076000009</v>
      </c>
      <c r="Z206" s="4"/>
      <c r="AA206" s="4"/>
      <c r="AB206" s="4"/>
    </row>
    <row r="207" spans="1:28" ht="13" x14ac:dyDescent="0.3">
      <c r="A207" s="4">
        <v>50</v>
      </c>
      <c r="B207" s="4">
        <v>0</v>
      </c>
      <c r="C207" s="4">
        <v>0</v>
      </c>
      <c r="D207" s="4">
        <v>1</v>
      </c>
      <c r="E207" s="4">
        <v>208</v>
      </c>
      <c r="F207" s="4">
        <f>Source!V184</f>
        <v>0</v>
      </c>
      <c r="G207" s="4" t="s">
        <v>136</v>
      </c>
      <c r="H207" s="4" t="s">
        <v>137</v>
      </c>
      <c r="I207" s="4"/>
      <c r="J207" s="4"/>
      <c r="K207" s="4">
        <v>208</v>
      </c>
      <c r="L207" s="4">
        <v>22</v>
      </c>
      <c r="M207" s="4">
        <v>3</v>
      </c>
      <c r="N207" s="4" t="s">
        <v>3</v>
      </c>
      <c r="O207" s="4">
        <v>-1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 ht="13" x14ac:dyDescent="0.3">
      <c r="A208" s="4">
        <v>50</v>
      </c>
      <c r="B208" s="4">
        <v>0</v>
      </c>
      <c r="C208" s="4">
        <v>0</v>
      </c>
      <c r="D208" s="4">
        <v>1</v>
      </c>
      <c r="E208" s="4">
        <v>209</v>
      </c>
      <c r="F208" s="4">
        <f>ROUND(Source!W184,O208)</f>
        <v>0</v>
      </c>
      <c r="G208" s="4" t="s">
        <v>138</v>
      </c>
      <c r="H208" s="4" t="s">
        <v>139</v>
      </c>
      <c r="I208" s="4"/>
      <c r="J208" s="4"/>
      <c r="K208" s="4">
        <v>209</v>
      </c>
      <c r="L208" s="4">
        <v>23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06" ht="13" x14ac:dyDescent="0.3">
      <c r="A209" s="4">
        <v>50</v>
      </c>
      <c r="B209" s="4">
        <v>0</v>
      </c>
      <c r="C209" s="4">
        <v>0</v>
      </c>
      <c r="D209" s="4">
        <v>1</v>
      </c>
      <c r="E209" s="4">
        <v>233</v>
      </c>
      <c r="F209" s="4">
        <f>ROUND(Source!BD184,O209)</f>
        <v>0</v>
      </c>
      <c r="G209" s="4" t="s">
        <v>140</v>
      </c>
      <c r="H209" s="4" t="s">
        <v>141</v>
      </c>
      <c r="I209" s="4"/>
      <c r="J209" s="4"/>
      <c r="K209" s="4">
        <v>233</v>
      </c>
      <c r="L209" s="4">
        <v>24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06" ht="13" x14ac:dyDescent="0.3">
      <c r="A210" s="4">
        <v>50</v>
      </c>
      <c r="B210" s="4">
        <v>0</v>
      </c>
      <c r="C210" s="4">
        <v>0</v>
      </c>
      <c r="D210" s="4">
        <v>1</v>
      </c>
      <c r="E210" s="4">
        <v>210</v>
      </c>
      <c r="F210" s="4">
        <f>ROUND(Source!X184,O210)</f>
        <v>10836078.710000001</v>
      </c>
      <c r="G210" s="4" t="s">
        <v>142</v>
      </c>
      <c r="H210" s="4" t="s">
        <v>143</v>
      </c>
      <c r="I210" s="4"/>
      <c r="J210" s="4"/>
      <c r="K210" s="4">
        <v>210</v>
      </c>
      <c r="L210" s="4">
        <v>25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10836078.710000001</v>
      </c>
      <c r="X210" s="4">
        <v>1</v>
      </c>
      <c r="Y210" s="4">
        <v>10836078.710000001</v>
      </c>
      <c r="Z210" s="4"/>
      <c r="AA210" s="4"/>
      <c r="AB210" s="4"/>
    </row>
    <row r="211" spans="1:206" ht="13" x14ac:dyDescent="0.3">
      <c r="A211" s="4">
        <v>50</v>
      </c>
      <c r="B211" s="4">
        <v>0</v>
      </c>
      <c r="C211" s="4">
        <v>0</v>
      </c>
      <c r="D211" s="4">
        <v>1</v>
      </c>
      <c r="E211" s="4">
        <v>211</v>
      </c>
      <c r="F211" s="4">
        <f>ROUND(Source!Y184,O211)</f>
        <v>1548011.27</v>
      </c>
      <c r="G211" s="4" t="s">
        <v>144</v>
      </c>
      <c r="H211" s="4" t="s">
        <v>145</v>
      </c>
      <c r="I211" s="4"/>
      <c r="J211" s="4"/>
      <c r="K211" s="4">
        <v>211</v>
      </c>
      <c r="L211" s="4">
        <v>26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1548011.27</v>
      </c>
      <c r="X211" s="4">
        <v>1</v>
      </c>
      <c r="Y211" s="4">
        <v>1548011.27</v>
      </c>
      <c r="Z211" s="4"/>
      <c r="AA211" s="4"/>
      <c r="AB211" s="4"/>
    </row>
    <row r="212" spans="1:206" ht="13" x14ac:dyDescent="0.3">
      <c r="A212" s="4">
        <v>50</v>
      </c>
      <c r="B212" s="4">
        <v>0</v>
      </c>
      <c r="C212" s="4">
        <v>0</v>
      </c>
      <c r="D212" s="4">
        <v>1</v>
      </c>
      <c r="E212" s="4">
        <v>224</v>
      </c>
      <c r="F212" s="4">
        <f>ROUND(Source!AR184,O212)</f>
        <v>73558008.109999999</v>
      </c>
      <c r="G212" s="4" t="s">
        <v>146</v>
      </c>
      <c r="H212" s="4" t="s">
        <v>147</v>
      </c>
      <c r="I212" s="4"/>
      <c r="J212" s="4"/>
      <c r="K212" s="4">
        <v>224</v>
      </c>
      <c r="L212" s="4">
        <v>27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73558008.109999999</v>
      </c>
      <c r="X212" s="4">
        <v>1</v>
      </c>
      <c r="Y212" s="4">
        <v>73558008.109999999</v>
      </c>
      <c r="Z212" s="4"/>
      <c r="AA212" s="4"/>
      <c r="AB212" s="4"/>
    </row>
    <row r="214" spans="1:206" ht="13" x14ac:dyDescent="0.3">
      <c r="A214" s="2">
        <v>51</v>
      </c>
      <c r="B214" s="2">
        <f>B20</f>
        <v>1</v>
      </c>
      <c r="C214" s="2">
        <f>A20</f>
        <v>3</v>
      </c>
      <c r="D214" s="2">
        <f>ROW(A20)</f>
        <v>20</v>
      </c>
      <c r="E214" s="2"/>
      <c r="F214" s="2" t="str">
        <f>IF(F20&lt;&gt;"",F20,"")</f>
        <v>Новая локальная смета</v>
      </c>
      <c r="G214" s="2" t="str">
        <f>IF(G20&lt;&gt;"",G20,"")</f>
        <v>Локальная смета: Зона №2</v>
      </c>
      <c r="H214" s="2">
        <v>0</v>
      </c>
      <c r="I214" s="2"/>
      <c r="J214" s="2"/>
      <c r="K214" s="2"/>
      <c r="L214" s="2"/>
      <c r="M214" s="2"/>
      <c r="N214" s="2"/>
      <c r="O214" s="2">
        <f t="shared" ref="O214:T214" si="154">ROUND(O184+AB214,2)</f>
        <v>47340883.270000003</v>
      </c>
      <c r="P214" s="2">
        <f t="shared" si="154"/>
        <v>3684583.08</v>
      </c>
      <c r="Q214" s="2">
        <f t="shared" si="154"/>
        <v>28176187.800000001</v>
      </c>
      <c r="R214" s="2">
        <f t="shared" si="154"/>
        <v>12808365.640000001</v>
      </c>
      <c r="S214" s="2">
        <f t="shared" si="154"/>
        <v>15480112.390000001</v>
      </c>
      <c r="T214" s="2">
        <f t="shared" si="154"/>
        <v>0</v>
      </c>
      <c r="U214" s="2">
        <f>U184+AH214</f>
        <v>34195.882076000002</v>
      </c>
      <c r="V214" s="2">
        <f>V184+AI214</f>
        <v>0</v>
      </c>
      <c r="W214" s="2">
        <f>ROUND(W184+AJ214,2)</f>
        <v>0</v>
      </c>
      <c r="X214" s="2">
        <f>ROUND(X184+AK214,2)</f>
        <v>10836078.710000001</v>
      </c>
      <c r="Y214" s="2">
        <f>ROUND(Y184+AL214,2)</f>
        <v>1548011.27</v>
      </c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>
        <f t="shared" ref="AO214:BD214" si="155">ROUND(AO184+BX214,2)</f>
        <v>0</v>
      </c>
      <c r="AP214" s="2">
        <f t="shared" si="155"/>
        <v>0</v>
      </c>
      <c r="AQ214" s="2">
        <f t="shared" si="155"/>
        <v>0</v>
      </c>
      <c r="AR214" s="2">
        <f t="shared" si="155"/>
        <v>73558008.109999999</v>
      </c>
      <c r="AS214" s="2">
        <f t="shared" si="155"/>
        <v>0</v>
      </c>
      <c r="AT214" s="2">
        <f t="shared" si="155"/>
        <v>0</v>
      </c>
      <c r="AU214" s="2">
        <f t="shared" si="155"/>
        <v>73558008.109999999</v>
      </c>
      <c r="AV214" s="2">
        <f t="shared" si="155"/>
        <v>3684583.08</v>
      </c>
      <c r="AW214" s="2">
        <f t="shared" si="155"/>
        <v>3684583.08</v>
      </c>
      <c r="AX214" s="2">
        <f t="shared" si="155"/>
        <v>0</v>
      </c>
      <c r="AY214" s="2">
        <f t="shared" si="155"/>
        <v>3684583.08</v>
      </c>
      <c r="AZ214" s="2">
        <f t="shared" si="155"/>
        <v>0</v>
      </c>
      <c r="BA214" s="2">
        <f t="shared" si="155"/>
        <v>0</v>
      </c>
      <c r="BB214" s="2">
        <f t="shared" si="155"/>
        <v>0</v>
      </c>
      <c r="BC214" s="2">
        <f t="shared" si="155"/>
        <v>0</v>
      </c>
      <c r="BD214" s="2">
        <f t="shared" si="155"/>
        <v>0</v>
      </c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3"/>
      <c r="DH214" s="3"/>
      <c r="DI214" s="3"/>
      <c r="DJ214" s="3"/>
      <c r="DK214" s="3"/>
      <c r="DL214" s="3"/>
      <c r="DM214" s="3"/>
      <c r="DN214" s="3"/>
      <c r="DO214" s="3"/>
      <c r="DP214" s="3"/>
      <c r="DQ214" s="3"/>
      <c r="DR214" s="3"/>
      <c r="DS214" s="3"/>
      <c r="DT214" s="3"/>
      <c r="DU214" s="3"/>
      <c r="DV214" s="3"/>
      <c r="DW214" s="3"/>
      <c r="DX214" s="3"/>
      <c r="DY214" s="3"/>
      <c r="DZ214" s="3"/>
      <c r="EA214" s="3"/>
      <c r="EB214" s="3"/>
      <c r="EC214" s="3"/>
      <c r="ED214" s="3"/>
      <c r="EE214" s="3"/>
      <c r="EF214" s="3"/>
      <c r="EG214" s="3"/>
      <c r="EH214" s="3"/>
      <c r="EI214" s="3"/>
      <c r="EJ214" s="3"/>
      <c r="EK214" s="3"/>
      <c r="EL214" s="3"/>
      <c r="EM214" s="3"/>
      <c r="EN214" s="3"/>
      <c r="EO214" s="3"/>
      <c r="EP214" s="3"/>
      <c r="EQ214" s="3"/>
      <c r="ER214" s="3"/>
      <c r="ES214" s="3"/>
      <c r="ET214" s="3"/>
      <c r="EU214" s="3"/>
      <c r="EV214" s="3"/>
      <c r="EW214" s="3"/>
      <c r="EX214" s="3"/>
      <c r="EY214" s="3"/>
      <c r="EZ214" s="3"/>
      <c r="FA214" s="3"/>
      <c r="FB214" s="3"/>
      <c r="FC214" s="3"/>
      <c r="FD214" s="3"/>
      <c r="FE214" s="3"/>
      <c r="FF214" s="3"/>
      <c r="FG214" s="3"/>
      <c r="FH214" s="3"/>
      <c r="FI214" s="3"/>
      <c r="FJ214" s="3"/>
      <c r="FK214" s="3"/>
      <c r="FL214" s="3"/>
      <c r="FM214" s="3"/>
      <c r="FN214" s="3"/>
      <c r="FO214" s="3"/>
      <c r="FP214" s="3"/>
      <c r="FQ214" s="3"/>
      <c r="FR214" s="3"/>
      <c r="FS214" s="3"/>
      <c r="FT214" s="3"/>
      <c r="FU214" s="3"/>
      <c r="FV214" s="3"/>
      <c r="FW214" s="3"/>
      <c r="FX214" s="3"/>
      <c r="FY214" s="3"/>
      <c r="FZ214" s="3"/>
      <c r="GA214" s="3"/>
      <c r="GB214" s="3"/>
      <c r="GC214" s="3"/>
      <c r="GD214" s="3"/>
      <c r="GE214" s="3"/>
      <c r="GF214" s="3"/>
      <c r="GG214" s="3"/>
      <c r="GH214" s="3"/>
      <c r="GI214" s="3"/>
      <c r="GJ214" s="3"/>
      <c r="GK214" s="3"/>
      <c r="GL214" s="3"/>
      <c r="GM214" s="3"/>
      <c r="GN214" s="3"/>
      <c r="GO214" s="3"/>
      <c r="GP214" s="3"/>
      <c r="GQ214" s="3"/>
      <c r="GR214" s="3"/>
      <c r="GS214" s="3"/>
      <c r="GT214" s="3"/>
      <c r="GU214" s="3"/>
      <c r="GV214" s="3"/>
      <c r="GW214" s="3"/>
      <c r="GX214" s="3">
        <v>0</v>
      </c>
    </row>
    <row r="216" spans="1:206" ht="13" x14ac:dyDescent="0.3">
      <c r="A216" s="4">
        <v>50</v>
      </c>
      <c r="B216" s="4">
        <v>0</v>
      </c>
      <c r="C216" s="4">
        <v>0</v>
      </c>
      <c r="D216" s="4">
        <v>1</v>
      </c>
      <c r="E216" s="4">
        <v>201</v>
      </c>
      <c r="F216" s="4">
        <f>ROUND(Source!O214,O216)</f>
        <v>47340883.270000003</v>
      </c>
      <c r="G216" s="4" t="s">
        <v>94</v>
      </c>
      <c r="H216" s="4" t="s">
        <v>95</v>
      </c>
      <c r="I216" s="4"/>
      <c r="J216" s="4"/>
      <c r="K216" s="4">
        <v>201</v>
      </c>
      <c r="L216" s="4">
        <v>1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47340883.270000003</v>
      </c>
      <c r="X216" s="4">
        <v>1</v>
      </c>
      <c r="Y216" s="4">
        <v>47340883.270000003</v>
      </c>
      <c r="Z216" s="4"/>
      <c r="AA216" s="4"/>
      <c r="AB216" s="4"/>
    </row>
    <row r="217" spans="1:206" ht="13" x14ac:dyDescent="0.3">
      <c r="A217" s="4">
        <v>50</v>
      </c>
      <c r="B217" s="4">
        <v>0</v>
      </c>
      <c r="C217" s="4">
        <v>0</v>
      </c>
      <c r="D217" s="4">
        <v>1</v>
      </c>
      <c r="E217" s="4">
        <v>202</v>
      </c>
      <c r="F217" s="4">
        <f>ROUND(Source!P214,O217)</f>
        <v>3684583.08</v>
      </c>
      <c r="G217" s="4" t="s">
        <v>96</v>
      </c>
      <c r="H217" s="4" t="s">
        <v>97</v>
      </c>
      <c r="I217" s="4"/>
      <c r="J217" s="4"/>
      <c r="K217" s="4">
        <v>202</v>
      </c>
      <c r="L217" s="4">
        <v>2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3684583.08</v>
      </c>
      <c r="X217" s="4">
        <v>1</v>
      </c>
      <c r="Y217" s="4">
        <v>3684583.08</v>
      </c>
      <c r="Z217" s="4"/>
      <c r="AA217" s="4"/>
      <c r="AB217" s="4"/>
    </row>
    <row r="218" spans="1:206" ht="13" x14ac:dyDescent="0.3">
      <c r="A218" s="4">
        <v>50</v>
      </c>
      <c r="B218" s="4">
        <v>0</v>
      </c>
      <c r="C218" s="4">
        <v>0</v>
      </c>
      <c r="D218" s="4">
        <v>1</v>
      </c>
      <c r="E218" s="4">
        <v>222</v>
      </c>
      <c r="F218" s="4">
        <f>ROUND(Source!AO214,O218)</f>
        <v>0</v>
      </c>
      <c r="G218" s="4" t="s">
        <v>98</v>
      </c>
      <c r="H218" s="4" t="s">
        <v>99</v>
      </c>
      <c r="I218" s="4"/>
      <c r="J218" s="4"/>
      <c r="K218" s="4">
        <v>222</v>
      </c>
      <c r="L218" s="4">
        <v>3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06" ht="13" x14ac:dyDescent="0.3">
      <c r="A219" s="4">
        <v>50</v>
      </c>
      <c r="B219" s="4">
        <v>0</v>
      </c>
      <c r="C219" s="4">
        <v>0</v>
      </c>
      <c r="D219" s="4">
        <v>1</v>
      </c>
      <c r="E219" s="4">
        <v>225</v>
      </c>
      <c r="F219" s="4">
        <f>ROUND(Source!AV214,O219)</f>
        <v>3684583.08</v>
      </c>
      <c r="G219" s="4" t="s">
        <v>100</v>
      </c>
      <c r="H219" s="4" t="s">
        <v>101</v>
      </c>
      <c r="I219" s="4"/>
      <c r="J219" s="4"/>
      <c r="K219" s="4">
        <v>225</v>
      </c>
      <c r="L219" s="4">
        <v>4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3684583.08</v>
      </c>
      <c r="X219" s="4">
        <v>1</v>
      </c>
      <c r="Y219" s="4">
        <v>3684583.08</v>
      </c>
      <c r="Z219" s="4"/>
      <c r="AA219" s="4"/>
      <c r="AB219" s="4"/>
    </row>
    <row r="220" spans="1:206" ht="13" x14ac:dyDescent="0.3">
      <c r="A220" s="4">
        <v>50</v>
      </c>
      <c r="B220" s="4">
        <v>0</v>
      </c>
      <c r="C220" s="4">
        <v>0</v>
      </c>
      <c r="D220" s="4">
        <v>1</v>
      </c>
      <c r="E220" s="4">
        <v>226</v>
      </c>
      <c r="F220" s="4">
        <f>ROUND(Source!AW214,O220)</f>
        <v>3684583.08</v>
      </c>
      <c r="G220" s="4" t="s">
        <v>102</v>
      </c>
      <c r="H220" s="4" t="s">
        <v>103</v>
      </c>
      <c r="I220" s="4"/>
      <c r="J220" s="4"/>
      <c r="K220" s="4">
        <v>226</v>
      </c>
      <c r="L220" s="4">
        <v>5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3684583.08</v>
      </c>
      <c r="X220" s="4">
        <v>1</v>
      </c>
      <c r="Y220" s="4">
        <v>3684583.08</v>
      </c>
      <c r="Z220" s="4"/>
      <c r="AA220" s="4"/>
      <c r="AB220" s="4"/>
    </row>
    <row r="221" spans="1:206" ht="13" x14ac:dyDescent="0.3">
      <c r="A221" s="4">
        <v>50</v>
      </c>
      <c r="B221" s="4">
        <v>0</v>
      </c>
      <c r="C221" s="4">
        <v>0</v>
      </c>
      <c r="D221" s="4">
        <v>1</v>
      </c>
      <c r="E221" s="4">
        <v>227</v>
      </c>
      <c r="F221" s="4">
        <f>ROUND(Source!AX214,O221)</f>
        <v>0</v>
      </c>
      <c r="G221" s="4" t="s">
        <v>104</v>
      </c>
      <c r="H221" s="4" t="s">
        <v>105</v>
      </c>
      <c r="I221" s="4"/>
      <c r="J221" s="4"/>
      <c r="K221" s="4">
        <v>227</v>
      </c>
      <c r="L221" s="4">
        <v>6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06" ht="13" x14ac:dyDescent="0.3">
      <c r="A222" s="4">
        <v>50</v>
      </c>
      <c r="B222" s="4">
        <v>0</v>
      </c>
      <c r="C222" s="4">
        <v>0</v>
      </c>
      <c r="D222" s="4">
        <v>1</v>
      </c>
      <c r="E222" s="4">
        <v>228</v>
      </c>
      <c r="F222" s="4">
        <f>ROUND(Source!AY214,O222)</f>
        <v>3684583.08</v>
      </c>
      <c r="G222" s="4" t="s">
        <v>106</v>
      </c>
      <c r="H222" s="4" t="s">
        <v>107</v>
      </c>
      <c r="I222" s="4"/>
      <c r="J222" s="4"/>
      <c r="K222" s="4">
        <v>228</v>
      </c>
      <c r="L222" s="4">
        <v>7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3684583.08</v>
      </c>
      <c r="X222" s="4">
        <v>1</v>
      </c>
      <c r="Y222" s="4">
        <v>3684583.08</v>
      </c>
      <c r="Z222" s="4"/>
      <c r="AA222" s="4"/>
      <c r="AB222" s="4"/>
    </row>
    <row r="223" spans="1:206" ht="13" x14ac:dyDescent="0.3">
      <c r="A223" s="4">
        <v>50</v>
      </c>
      <c r="B223" s="4">
        <v>0</v>
      </c>
      <c r="C223" s="4">
        <v>0</v>
      </c>
      <c r="D223" s="4">
        <v>1</v>
      </c>
      <c r="E223" s="4">
        <v>216</v>
      </c>
      <c r="F223" s="4">
        <f>ROUND(Source!AP214,O223)</f>
        <v>0</v>
      </c>
      <c r="G223" s="4" t="s">
        <v>108</v>
      </c>
      <c r="H223" s="4" t="s">
        <v>109</v>
      </c>
      <c r="I223" s="4"/>
      <c r="J223" s="4"/>
      <c r="K223" s="4">
        <v>216</v>
      </c>
      <c r="L223" s="4">
        <v>8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06" ht="13" x14ac:dyDescent="0.3">
      <c r="A224" s="4">
        <v>50</v>
      </c>
      <c r="B224" s="4">
        <v>0</v>
      </c>
      <c r="C224" s="4">
        <v>0</v>
      </c>
      <c r="D224" s="4">
        <v>1</v>
      </c>
      <c r="E224" s="4">
        <v>223</v>
      </c>
      <c r="F224" s="4">
        <f>ROUND(Source!AQ214,O224)</f>
        <v>0</v>
      </c>
      <c r="G224" s="4" t="s">
        <v>110</v>
      </c>
      <c r="H224" s="4" t="s">
        <v>111</v>
      </c>
      <c r="I224" s="4"/>
      <c r="J224" s="4"/>
      <c r="K224" s="4">
        <v>223</v>
      </c>
      <c r="L224" s="4">
        <v>9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8" ht="13" x14ac:dyDescent="0.3">
      <c r="A225" s="4">
        <v>50</v>
      </c>
      <c r="B225" s="4">
        <v>0</v>
      </c>
      <c r="C225" s="4">
        <v>0</v>
      </c>
      <c r="D225" s="4">
        <v>1</v>
      </c>
      <c r="E225" s="4">
        <v>229</v>
      </c>
      <c r="F225" s="4">
        <f>ROUND(Source!AZ214,O225)</f>
        <v>0</v>
      </c>
      <c r="G225" s="4" t="s">
        <v>112</v>
      </c>
      <c r="H225" s="4" t="s">
        <v>113</v>
      </c>
      <c r="I225" s="4"/>
      <c r="J225" s="4"/>
      <c r="K225" s="4">
        <v>229</v>
      </c>
      <c r="L225" s="4">
        <v>10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8" ht="13" x14ac:dyDescent="0.3">
      <c r="A226" s="4">
        <v>50</v>
      </c>
      <c r="B226" s="4">
        <v>0</v>
      </c>
      <c r="C226" s="4">
        <v>0</v>
      </c>
      <c r="D226" s="4">
        <v>1</v>
      </c>
      <c r="E226" s="4">
        <v>203</v>
      </c>
      <c r="F226" s="4">
        <f>ROUND(Source!Q214,O226)</f>
        <v>28176187.800000001</v>
      </c>
      <c r="G226" s="4" t="s">
        <v>114</v>
      </c>
      <c r="H226" s="4" t="s">
        <v>115</v>
      </c>
      <c r="I226" s="4"/>
      <c r="J226" s="4"/>
      <c r="K226" s="4">
        <v>203</v>
      </c>
      <c r="L226" s="4">
        <v>11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28176187.800000001</v>
      </c>
      <c r="X226" s="4">
        <v>1</v>
      </c>
      <c r="Y226" s="4">
        <v>28176187.800000001</v>
      </c>
      <c r="Z226" s="4"/>
      <c r="AA226" s="4"/>
      <c r="AB226" s="4"/>
    </row>
    <row r="227" spans="1:28" ht="13" x14ac:dyDescent="0.3">
      <c r="A227" s="4">
        <v>50</v>
      </c>
      <c r="B227" s="4">
        <v>0</v>
      </c>
      <c r="C227" s="4">
        <v>0</v>
      </c>
      <c r="D227" s="4">
        <v>1</v>
      </c>
      <c r="E227" s="4">
        <v>231</v>
      </c>
      <c r="F227" s="4">
        <f>ROUND(Source!BB214,O227)</f>
        <v>0</v>
      </c>
      <c r="G227" s="4" t="s">
        <v>116</v>
      </c>
      <c r="H227" s="4" t="s">
        <v>117</v>
      </c>
      <c r="I227" s="4"/>
      <c r="J227" s="4"/>
      <c r="K227" s="4">
        <v>231</v>
      </c>
      <c r="L227" s="4">
        <v>12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8" ht="13" x14ac:dyDescent="0.3">
      <c r="A228" s="4">
        <v>50</v>
      </c>
      <c r="B228" s="4">
        <v>0</v>
      </c>
      <c r="C228" s="4">
        <v>0</v>
      </c>
      <c r="D228" s="4">
        <v>1</v>
      </c>
      <c r="E228" s="4">
        <v>204</v>
      </c>
      <c r="F228" s="4">
        <f>ROUND(Source!R214,O228)</f>
        <v>12808365.640000001</v>
      </c>
      <c r="G228" s="4" t="s">
        <v>118</v>
      </c>
      <c r="H228" s="4" t="s">
        <v>119</v>
      </c>
      <c r="I228" s="4"/>
      <c r="J228" s="4"/>
      <c r="K228" s="4">
        <v>204</v>
      </c>
      <c r="L228" s="4">
        <v>13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12808365.640000001</v>
      </c>
      <c r="X228" s="4">
        <v>1</v>
      </c>
      <c r="Y228" s="4">
        <v>12808365.640000001</v>
      </c>
      <c r="Z228" s="4"/>
      <c r="AA228" s="4"/>
      <c r="AB228" s="4"/>
    </row>
    <row r="229" spans="1:28" ht="13" x14ac:dyDescent="0.3">
      <c r="A229" s="4">
        <v>50</v>
      </c>
      <c r="B229" s="4">
        <v>0</v>
      </c>
      <c r="C229" s="4">
        <v>0</v>
      </c>
      <c r="D229" s="4">
        <v>1</v>
      </c>
      <c r="E229" s="4">
        <v>205</v>
      </c>
      <c r="F229" s="4">
        <f>ROUND(Source!S214,O229)</f>
        <v>15480112.390000001</v>
      </c>
      <c r="G229" s="4" t="s">
        <v>120</v>
      </c>
      <c r="H229" s="4" t="s">
        <v>121</v>
      </c>
      <c r="I229" s="4"/>
      <c r="J229" s="4"/>
      <c r="K229" s="4">
        <v>205</v>
      </c>
      <c r="L229" s="4">
        <v>14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15480112.390000001</v>
      </c>
      <c r="X229" s="4">
        <v>1</v>
      </c>
      <c r="Y229" s="4">
        <v>15480112.390000001</v>
      </c>
      <c r="Z229" s="4"/>
      <c r="AA229" s="4"/>
      <c r="AB229" s="4"/>
    </row>
    <row r="230" spans="1:28" ht="13" x14ac:dyDescent="0.3">
      <c r="A230" s="4">
        <v>50</v>
      </c>
      <c r="B230" s="4">
        <v>0</v>
      </c>
      <c r="C230" s="4">
        <v>0</v>
      </c>
      <c r="D230" s="4">
        <v>1</v>
      </c>
      <c r="E230" s="4">
        <v>232</v>
      </c>
      <c r="F230" s="4">
        <f>ROUND(Source!BC214,O230)</f>
        <v>0</v>
      </c>
      <c r="G230" s="4" t="s">
        <v>122</v>
      </c>
      <c r="H230" s="4" t="s">
        <v>123</v>
      </c>
      <c r="I230" s="4"/>
      <c r="J230" s="4"/>
      <c r="K230" s="4">
        <v>232</v>
      </c>
      <c r="L230" s="4">
        <v>15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8" ht="13" x14ac:dyDescent="0.3">
      <c r="A231" s="4">
        <v>50</v>
      </c>
      <c r="B231" s="4">
        <v>0</v>
      </c>
      <c r="C231" s="4">
        <v>0</v>
      </c>
      <c r="D231" s="4">
        <v>1</v>
      </c>
      <c r="E231" s="4">
        <v>214</v>
      </c>
      <c r="F231" s="4">
        <f>ROUND(Source!AS214,O231)</f>
        <v>0</v>
      </c>
      <c r="G231" s="4" t="s">
        <v>124</v>
      </c>
      <c r="H231" s="4" t="s">
        <v>125</v>
      </c>
      <c r="I231" s="4"/>
      <c r="J231" s="4"/>
      <c r="K231" s="4">
        <v>214</v>
      </c>
      <c r="L231" s="4">
        <v>16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8" ht="13" x14ac:dyDescent="0.3">
      <c r="A232" s="4">
        <v>50</v>
      </c>
      <c r="B232" s="4">
        <v>0</v>
      </c>
      <c r="C232" s="4">
        <v>0</v>
      </c>
      <c r="D232" s="4">
        <v>1</v>
      </c>
      <c r="E232" s="4">
        <v>215</v>
      </c>
      <c r="F232" s="4">
        <f>ROUND(Source!AT214,O232)</f>
        <v>0</v>
      </c>
      <c r="G232" s="4" t="s">
        <v>126</v>
      </c>
      <c r="H232" s="4" t="s">
        <v>127</v>
      </c>
      <c r="I232" s="4"/>
      <c r="J232" s="4"/>
      <c r="K232" s="4">
        <v>215</v>
      </c>
      <c r="L232" s="4">
        <v>17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8" ht="13" x14ac:dyDescent="0.3">
      <c r="A233" s="4">
        <v>50</v>
      </c>
      <c r="B233" s="4">
        <v>0</v>
      </c>
      <c r="C233" s="4">
        <v>0</v>
      </c>
      <c r="D233" s="4">
        <v>1</v>
      </c>
      <c r="E233" s="4">
        <v>217</v>
      </c>
      <c r="F233" s="4">
        <f>ROUND(Source!AU214,O233)</f>
        <v>73558008.109999999</v>
      </c>
      <c r="G233" s="4" t="s">
        <v>128</v>
      </c>
      <c r="H233" s="4" t="s">
        <v>129</v>
      </c>
      <c r="I233" s="4"/>
      <c r="J233" s="4"/>
      <c r="K233" s="4">
        <v>217</v>
      </c>
      <c r="L233" s="4">
        <v>18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73558008.109999999</v>
      </c>
      <c r="X233" s="4">
        <v>1</v>
      </c>
      <c r="Y233" s="4">
        <v>73558008.109999999</v>
      </c>
      <c r="Z233" s="4"/>
      <c r="AA233" s="4"/>
      <c r="AB233" s="4"/>
    </row>
    <row r="234" spans="1:28" ht="13" x14ac:dyDescent="0.3">
      <c r="A234" s="4">
        <v>50</v>
      </c>
      <c r="B234" s="4">
        <v>0</v>
      </c>
      <c r="C234" s="4">
        <v>0</v>
      </c>
      <c r="D234" s="4">
        <v>1</v>
      </c>
      <c r="E234" s="4">
        <v>230</v>
      </c>
      <c r="F234" s="4">
        <f>ROUND(Source!BA214,O234)</f>
        <v>0</v>
      </c>
      <c r="G234" s="4" t="s">
        <v>130</v>
      </c>
      <c r="H234" s="4" t="s">
        <v>131</v>
      </c>
      <c r="I234" s="4"/>
      <c r="J234" s="4"/>
      <c r="K234" s="4">
        <v>230</v>
      </c>
      <c r="L234" s="4">
        <v>19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0</v>
      </c>
      <c r="X234" s="4">
        <v>1</v>
      </c>
      <c r="Y234" s="4">
        <v>0</v>
      </c>
      <c r="Z234" s="4"/>
      <c r="AA234" s="4"/>
      <c r="AB234" s="4"/>
    </row>
    <row r="235" spans="1:28" ht="13" x14ac:dyDescent="0.3">
      <c r="A235" s="4">
        <v>50</v>
      </c>
      <c r="B235" s="4">
        <v>0</v>
      </c>
      <c r="C235" s="4">
        <v>0</v>
      </c>
      <c r="D235" s="4">
        <v>1</v>
      </c>
      <c r="E235" s="4">
        <v>206</v>
      </c>
      <c r="F235" s="4">
        <f>ROUND(Source!T214,O235)</f>
        <v>0</v>
      </c>
      <c r="G235" s="4" t="s">
        <v>132</v>
      </c>
      <c r="H235" s="4" t="s">
        <v>133</v>
      </c>
      <c r="I235" s="4"/>
      <c r="J235" s="4"/>
      <c r="K235" s="4">
        <v>206</v>
      </c>
      <c r="L235" s="4">
        <v>20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8" ht="13" x14ac:dyDescent="0.3">
      <c r="A236" s="4">
        <v>50</v>
      </c>
      <c r="B236" s="4">
        <v>0</v>
      </c>
      <c r="C236" s="4">
        <v>0</v>
      </c>
      <c r="D236" s="4">
        <v>1</v>
      </c>
      <c r="E236" s="4">
        <v>207</v>
      </c>
      <c r="F236" s="4">
        <f>Source!U214</f>
        <v>34195.882076000002</v>
      </c>
      <c r="G236" s="4" t="s">
        <v>134</v>
      </c>
      <c r="H236" s="4" t="s">
        <v>135</v>
      </c>
      <c r="I236" s="4"/>
      <c r="J236" s="4"/>
      <c r="K236" s="4">
        <v>207</v>
      </c>
      <c r="L236" s="4">
        <v>21</v>
      </c>
      <c r="M236" s="4">
        <v>3</v>
      </c>
      <c r="N236" s="4" t="s">
        <v>3</v>
      </c>
      <c r="O236" s="4">
        <v>-1</v>
      </c>
      <c r="P236" s="4"/>
      <c r="Q236" s="4"/>
      <c r="R236" s="4"/>
      <c r="S236" s="4"/>
      <c r="T236" s="4"/>
      <c r="U236" s="4"/>
      <c r="V236" s="4"/>
      <c r="W236" s="4">
        <v>34195.882076000009</v>
      </c>
      <c r="X236" s="4">
        <v>1</v>
      </c>
      <c r="Y236" s="4">
        <v>34195.882076000009</v>
      </c>
      <c r="Z236" s="4"/>
      <c r="AA236" s="4"/>
      <c r="AB236" s="4"/>
    </row>
    <row r="237" spans="1:28" ht="13" x14ac:dyDescent="0.3">
      <c r="A237" s="4">
        <v>50</v>
      </c>
      <c r="B237" s="4">
        <v>0</v>
      </c>
      <c r="C237" s="4">
        <v>0</v>
      </c>
      <c r="D237" s="4">
        <v>1</v>
      </c>
      <c r="E237" s="4">
        <v>208</v>
      </c>
      <c r="F237" s="4">
        <f>Source!V214</f>
        <v>0</v>
      </c>
      <c r="G237" s="4" t="s">
        <v>136</v>
      </c>
      <c r="H237" s="4" t="s">
        <v>137</v>
      </c>
      <c r="I237" s="4"/>
      <c r="J237" s="4"/>
      <c r="K237" s="4">
        <v>208</v>
      </c>
      <c r="L237" s="4">
        <v>22</v>
      </c>
      <c r="M237" s="4">
        <v>3</v>
      </c>
      <c r="N237" s="4" t="s">
        <v>3</v>
      </c>
      <c r="O237" s="4">
        <v>-1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8" ht="13" x14ac:dyDescent="0.3">
      <c r="A238" s="4">
        <v>50</v>
      </c>
      <c r="B238" s="4">
        <v>0</v>
      </c>
      <c r="C238" s="4">
        <v>0</v>
      </c>
      <c r="D238" s="4">
        <v>1</v>
      </c>
      <c r="E238" s="4">
        <v>209</v>
      </c>
      <c r="F238" s="4">
        <f>ROUND(Source!W214,O238)</f>
        <v>0</v>
      </c>
      <c r="G238" s="4" t="s">
        <v>138</v>
      </c>
      <c r="H238" s="4" t="s">
        <v>139</v>
      </c>
      <c r="I238" s="4"/>
      <c r="J238" s="4"/>
      <c r="K238" s="4">
        <v>209</v>
      </c>
      <c r="L238" s="4">
        <v>23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8" ht="13" x14ac:dyDescent="0.3">
      <c r="A239" s="4">
        <v>50</v>
      </c>
      <c r="B239" s="4">
        <v>0</v>
      </c>
      <c r="C239" s="4">
        <v>0</v>
      </c>
      <c r="D239" s="4">
        <v>1</v>
      </c>
      <c r="E239" s="4">
        <v>233</v>
      </c>
      <c r="F239" s="4">
        <f>ROUND(Source!BD214,O239)</f>
        <v>0</v>
      </c>
      <c r="G239" s="4" t="s">
        <v>140</v>
      </c>
      <c r="H239" s="4" t="s">
        <v>141</v>
      </c>
      <c r="I239" s="4"/>
      <c r="J239" s="4"/>
      <c r="K239" s="4">
        <v>233</v>
      </c>
      <c r="L239" s="4">
        <v>24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8" ht="13" x14ac:dyDescent="0.3">
      <c r="A240" s="4">
        <v>50</v>
      </c>
      <c r="B240" s="4">
        <v>0</v>
      </c>
      <c r="C240" s="4">
        <v>0</v>
      </c>
      <c r="D240" s="4">
        <v>1</v>
      </c>
      <c r="E240" s="4">
        <v>210</v>
      </c>
      <c r="F240" s="4">
        <f>ROUND(Source!X214,O240)</f>
        <v>10836078.710000001</v>
      </c>
      <c r="G240" s="4" t="s">
        <v>142</v>
      </c>
      <c r="H240" s="4" t="s">
        <v>143</v>
      </c>
      <c r="I240" s="4"/>
      <c r="J240" s="4"/>
      <c r="K240" s="4">
        <v>210</v>
      </c>
      <c r="L240" s="4">
        <v>25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10836078.710000001</v>
      </c>
      <c r="X240" s="4">
        <v>1</v>
      </c>
      <c r="Y240" s="4">
        <v>10836078.710000001</v>
      </c>
      <c r="Z240" s="4"/>
      <c r="AA240" s="4"/>
      <c r="AB240" s="4"/>
    </row>
    <row r="241" spans="1:206" ht="13" x14ac:dyDescent="0.3">
      <c r="A241" s="4">
        <v>50</v>
      </c>
      <c r="B241" s="4">
        <v>0</v>
      </c>
      <c r="C241" s="4">
        <v>0</v>
      </c>
      <c r="D241" s="4">
        <v>1</v>
      </c>
      <c r="E241" s="4">
        <v>211</v>
      </c>
      <c r="F241" s="4">
        <f>ROUND(Source!Y214,O241)</f>
        <v>1548011.27</v>
      </c>
      <c r="G241" s="4" t="s">
        <v>144</v>
      </c>
      <c r="H241" s="4" t="s">
        <v>145</v>
      </c>
      <c r="I241" s="4"/>
      <c r="J241" s="4"/>
      <c r="K241" s="4">
        <v>211</v>
      </c>
      <c r="L241" s="4">
        <v>26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1548011.27</v>
      </c>
      <c r="X241" s="4">
        <v>1</v>
      </c>
      <c r="Y241" s="4">
        <v>1548011.27</v>
      </c>
      <c r="Z241" s="4"/>
      <c r="AA241" s="4"/>
      <c r="AB241" s="4"/>
    </row>
    <row r="242" spans="1:206" ht="13" x14ac:dyDescent="0.3">
      <c r="A242" s="4">
        <v>50</v>
      </c>
      <c r="B242" s="4">
        <v>0</v>
      </c>
      <c r="C242" s="4">
        <v>0</v>
      </c>
      <c r="D242" s="4">
        <v>1</v>
      </c>
      <c r="E242" s="4">
        <v>224</v>
      </c>
      <c r="F242" s="4">
        <f>ROUND(Source!AR214,O242)</f>
        <v>73558008.109999999</v>
      </c>
      <c r="G242" s="4" t="s">
        <v>146</v>
      </c>
      <c r="H242" s="4" t="s">
        <v>147</v>
      </c>
      <c r="I242" s="4"/>
      <c r="J242" s="4"/>
      <c r="K242" s="4">
        <v>224</v>
      </c>
      <c r="L242" s="4">
        <v>27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73558008.109999999</v>
      </c>
      <c r="X242" s="4">
        <v>1</v>
      </c>
      <c r="Y242" s="4">
        <v>73558008.109999999</v>
      </c>
      <c r="Z242" s="4"/>
      <c r="AA242" s="4"/>
      <c r="AB242" s="4"/>
    </row>
    <row r="243" spans="1:206" ht="13" x14ac:dyDescent="0.3">
      <c r="A243" s="4">
        <v>50</v>
      </c>
      <c r="B243" s="4">
        <v>1</v>
      </c>
      <c r="C243" s="4">
        <v>0</v>
      </c>
      <c r="D243" s="4">
        <v>2</v>
      </c>
      <c r="E243" s="4">
        <v>0</v>
      </c>
      <c r="F243" s="4">
        <f>ROUND(F242*0.22,O243)</f>
        <v>16182761.779999999</v>
      </c>
      <c r="G243" s="4" t="s">
        <v>3</v>
      </c>
      <c r="H243" s="4" t="s">
        <v>381</v>
      </c>
      <c r="I243" s="4"/>
      <c r="J243" s="4"/>
      <c r="K243" s="4">
        <v>212</v>
      </c>
      <c r="L243" s="4">
        <v>28</v>
      </c>
      <c r="M243" s="4">
        <v>0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14711601.619999999</v>
      </c>
      <c r="X243" s="4">
        <v>1</v>
      </c>
      <c r="Y243" s="4">
        <v>14711601.619999999</v>
      </c>
      <c r="Z243" s="4"/>
      <c r="AA243" s="4"/>
      <c r="AB243" s="4"/>
    </row>
    <row r="244" spans="1:206" ht="13" x14ac:dyDescent="0.3">
      <c r="A244" s="4">
        <v>50</v>
      </c>
      <c r="B244" s="4">
        <v>1</v>
      </c>
      <c r="C244" s="4">
        <v>0</v>
      </c>
      <c r="D244" s="4">
        <v>2</v>
      </c>
      <c r="E244" s="4">
        <v>0</v>
      </c>
      <c r="F244" s="4">
        <f>ROUND(F242*1.2,O244)</f>
        <v>88269609.730000004</v>
      </c>
      <c r="G244" s="4" t="s">
        <v>3</v>
      </c>
      <c r="H244" s="4" t="s">
        <v>256</v>
      </c>
      <c r="I244" s="4"/>
      <c r="J244" s="4"/>
      <c r="K244" s="4">
        <v>212</v>
      </c>
      <c r="L244" s="4">
        <v>29</v>
      </c>
      <c r="M244" s="4">
        <v>0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88269609.730000004</v>
      </c>
      <c r="X244" s="4">
        <v>1</v>
      </c>
      <c r="Y244" s="4">
        <v>88269609.730000004</v>
      </c>
      <c r="Z244" s="4"/>
      <c r="AA244" s="4"/>
      <c r="AB244" s="4"/>
    </row>
    <row r="246" spans="1:206" ht="13" x14ac:dyDescent="0.3">
      <c r="A246" s="2">
        <v>51</v>
      </c>
      <c r="B246" s="2">
        <f>B12</f>
        <v>282</v>
      </c>
      <c r="C246" s="2">
        <f>A12</f>
        <v>1</v>
      </c>
      <c r="D246" s="2">
        <f>ROW(A12)</f>
        <v>12</v>
      </c>
      <c r="E246" s="2"/>
      <c r="F246" s="2" t="str">
        <f>IF(F12&lt;&gt;"",F12,"")</f>
        <v>Новый объект</v>
      </c>
      <c r="G246" s="2" t="str">
        <f>IF(G12&lt;&gt;"",G12,"")</f>
        <v>Зона 2</v>
      </c>
      <c r="H246" s="2">
        <v>0</v>
      </c>
      <c r="I246" s="2"/>
      <c r="J246" s="2"/>
      <c r="K246" s="2"/>
      <c r="L246" s="2"/>
      <c r="M246" s="2"/>
      <c r="N246" s="2"/>
      <c r="O246" s="2">
        <f t="shared" ref="O246:T246" si="156">ROUND(O214,2)</f>
        <v>47340883.270000003</v>
      </c>
      <c r="P246" s="2">
        <f t="shared" si="156"/>
        <v>3684583.08</v>
      </c>
      <c r="Q246" s="2">
        <f t="shared" si="156"/>
        <v>28176187.800000001</v>
      </c>
      <c r="R246" s="2">
        <f t="shared" si="156"/>
        <v>12808365.640000001</v>
      </c>
      <c r="S246" s="2">
        <f t="shared" si="156"/>
        <v>15480112.390000001</v>
      </c>
      <c r="T246" s="2">
        <f t="shared" si="156"/>
        <v>0</v>
      </c>
      <c r="U246" s="2">
        <f>U214</f>
        <v>34195.882076000002</v>
      </c>
      <c r="V246" s="2">
        <f>V214</f>
        <v>0</v>
      </c>
      <c r="W246" s="2">
        <f>ROUND(W214,2)</f>
        <v>0</v>
      </c>
      <c r="X246" s="2">
        <f>ROUND(X214,2)</f>
        <v>10836078.710000001</v>
      </c>
      <c r="Y246" s="2">
        <f>ROUND(Y214,2)</f>
        <v>1548011.27</v>
      </c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>
        <f t="shared" ref="AO246:BD246" si="157">ROUND(AO214,2)</f>
        <v>0</v>
      </c>
      <c r="AP246" s="2">
        <f t="shared" si="157"/>
        <v>0</v>
      </c>
      <c r="AQ246" s="2">
        <f t="shared" si="157"/>
        <v>0</v>
      </c>
      <c r="AR246" s="2">
        <f t="shared" si="157"/>
        <v>73558008.109999999</v>
      </c>
      <c r="AS246" s="2">
        <f t="shared" si="157"/>
        <v>0</v>
      </c>
      <c r="AT246" s="2">
        <f t="shared" si="157"/>
        <v>0</v>
      </c>
      <c r="AU246" s="2">
        <f t="shared" si="157"/>
        <v>73558008.109999999</v>
      </c>
      <c r="AV246" s="2">
        <f t="shared" si="157"/>
        <v>3684583.08</v>
      </c>
      <c r="AW246" s="2">
        <f t="shared" si="157"/>
        <v>3684583.08</v>
      </c>
      <c r="AX246" s="2">
        <f t="shared" si="157"/>
        <v>0</v>
      </c>
      <c r="AY246" s="2">
        <f t="shared" si="157"/>
        <v>3684583.08</v>
      </c>
      <c r="AZ246" s="2">
        <f t="shared" si="157"/>
        <v>0</v>
      </c>
      <c r="BA246" s="2">
        <f t="shared" si="157"/>
        <v>0</v>
      </c>
      <c r="BB246" s="2">
        <f t="shared" si="157"/>
        <v>0</v>
      </c>
      <c r="BC246" s="2">
        <f t="shared" si="157"/>
        <v>0</v>
      </c>
      <c r="BD246" s="2">
        <f t="shared" si="157"/>
        <v>0</v>
      </c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3"/>
      <c r="DH246" s="3"/>
      <c r="DI246" s="3"/>
      <c r="DJ246" s="3"/>
      <c r="DK246" s="3"/>
      <c r="DL246" s="3"/>
      <c r="DM246" s="3"/>
      <c r="DN246" s="3"/>
      <c r="DO246" s="3"/>
      <c r="DP246" s="3"/>
      <c r="DQ246" s="3"/>
      <c r="DR246" s="3"/>
      <c r="DS246" s="3"/>
      <c r="DT246" s="3"/>
      <c r="DU246" s="3"/>
      <c r="DV246" s="3"/>
      <c r="DW246" s="3"/>
      <c r="DX246" s="3"/>
      <c r="DY246" s="3"/>
      <c r="DZ246" s="3"/>
      <c r="EA246" s="3"/>
      <c r="EB246" s="3"/>
      <c r="EC246" s="3"/>
      <c r="ED246" s="3"/>
      <c r="EE246" s="3"/>
      <c r="EF246" s="3"/>
      <c r="EG246" s="3"/>
      <c r="EH246" s="3"/>
      <c r="EI246" s="3"/>
      <c r="EJ246" s="3"/>
      <c r="EK246" s="3"/>
      <c r="EL246" s="3"/>
      <c r="EM246" s="3"/>
      <c r="EN246" s="3"/>
      <c r="EO246" s="3"/>
      <c r="EP246" s="3"/>
      <c r="EQ246" s="3"/>
      <c r="ER246" s="3"/>
      <c r="ES246" s="3"/>
      <c r="ET246" s="3"/>
      <c r="EU246" s="3"/>
      <c r="EV246" s="3"/>
      <c r="EW246" s="3"/>
      <c r="EX246" s="3"/>
      <c r="EY246" s="3"/>
      <c r="EZ246" s="3"/>
      <c r="FA246" s="3"/>
      <c r="FB246" s="3"/>
      <c r="FC246" s="3"/>
      <c r="FD246" s="3"/>
      <c r="FE246" s="3"/>
      <c r="FF246" s="3"/>
      <c r="FG246" s="3"/>
      <c r="FH246" s="3"/>
      <c r="FI246" s="3"/>
      <c r="FJ246" s="3"/>
      <c r="FK246" s="3"/>
      <c r="FL246" s="3"/>
      <c r="FM246" s="3"/>
      <c r="FN246" s="3"/>
      <c r="FO246" s="3"/>
      <c r="FP246" s="3"/>
      <c r="FQ246" s="3"/>
      <c r="FR246" s="3"/>
      <c r="FS246" s="3"/>
      <c r="FT246" s="3"/>
      <c r="FU246" s="3"/>
      <c r="FV246" s="3"/>
      <c r="FW246" s="3"/>
      <c r="FX246" s="3"/>
      <c r="FY246" s="3"/>
      <c r="FZ246" s="3"/>
      <c r="GA246" s="3"/>
      <c r="GB246" s="3"/>
      <c r="GC246" s="3"/>
      <c r="GD246" s="3"/>
      <c r="GE246" s="3"/>
      <c r="GF246" s="3"/>
      <c r="GG246" s="3"/>
      <c r="GH246" s="3"/>
      <c r="GI246" s="3"/>
      <c r="GJ246" s="3"/>
      <c r="GK246" s="3"/>
      <c r="GL246" s="3"/>
      <c r="GM246" s="3"/>
      <c r="GN246" s="3"/>
      <c r="GO246" s="3"/>
      <c r="GP246" s="3"/>
      <c r="GQ246" s="3"/>
      <c r="GR246" s="3"/>
      <c r="GS246" s="3"/>
      <c r="GT246" s="3"/>
      <c r="GU246" s="3"/>
      <c r="GV246" s="3"/>
      <c r="GW246" s="3"/>
      <c r="GX246" s="3">
        <v>0</v>
      </c>
    </row>
    <row r="248" spans="1:206" ht="13" x14ac:dyDescent="0.3">
      <c r="A248" s="4">
        <v>50</v>
      </c>
      <c r="B248" s="4">
        <v>0</v>
      </c>
      <c r="C248" s="4">
        <v>0</v>
      </c>
      <c r="D248" s="4">
        <v>1</v>
      </c>
      <c r="E248" s="4">
        <v>201</v>
      </c>
      <c r="F248" s="4">
        <f>ROUND(Source!O246,O248)</f>
        <v>47340883.270000003</v>
      </c>
      <c r="G248" s="4" t="s">
        <v>94</v>
      </c>
      <c r="H248" s="4" t="s">
        <v>95</v>
      </c>
      <c r="I248" s="4"/>
      <c r="J248" s="4"/>
      <c r="K248" s="4">
        <v>201</v>
      </c>
      <c r="L248" s="4">
        <v>1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47340883.270000003</v>
      </c>
      <c r="X248" s="4">
        <v>1</v>
      </c>
      <c r="Y248" s="4">
        <v>47340883.270000003</v>
      </c>
      <c r="Z248" s="4"/>
      <c r="AA248" s="4"/>
      <c r="AB248" s="4"/>
    </row>
    <row r="249" spans="1:206" ht="13" x14ac:dyDescent="0.3">
      <c r="A249" s="4">
        <v>50</v>
      </c>
      <c r="B249" s="4">
        <v>0</v>
      </c>
      <c r="C249" s="4">
        <v>0</v>
      </c>
      <c r="D249" s="4">
        <v>1</v>
      </c>
      <c r="E249" s="4">
        <v>202</v>
      </c>
      <c r="F249" s="4">
        <f>ROUND(Source!P246,O249)</f>
        <v>3684583.08</v>
      </c>
      <c r="G249" s="4" t="s">
        <v>96</v>
      </c>
      <c r="H249" s="4" t="s">
        <v>97</v>
      </c>
      <c r="I249" s="4"/>
      <c r="J249" s="4"/>
      <c r="K249" s="4">
        <v>202</v>
      </c>
      <c r="L249" s="4">
        <v>2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3684583.08</v>
      </c>
      <c r="X249" s="4">
        <v>1</v>
      </c>
      <c r="Y249" s="4">
        <v>3684583.08</v>
      </c>
      <c r="Z249" s="4"/>
      <c r="AA249" s="4"/>
      <c r="AB249" s="4"/>
    </row>
    <row r="250" spans="1:206" ht="13" x14ac:dyDescent="0.3">
      <c r="A250" s="4">
        <v>50</v>
      </c>
      <c r="B250" s="4">
        <v>0</v>
      </c>
      <c r="C250" s="4">
        <v>0</v>
      </c>
      <c r="D250" s="4">
        <v>1</v>
      </c>
      <c r="E250" s="4">
        <v>222</v>
      </c>
      <c r="F250" s="4">
        <f>ROUND(Source!AO246,O250)</f>
        <v>0</v>
      </c>
      <c r="G250" s="4" t="s">
        <v>98</v>
      </c>
      <c r="H250" s="4" t="s">
        <v>99</v>
      </c>
      <c r="I250" s="4"/>
      <c r="J250" s="4"/>
      <c r="K250" s="4">
        <v>222</v>
      </c>
      <c r="L250" s="4">
        <v>3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06" ht="13" x14ac:dyDescent="0.3">
      <c r="A251" s="4">
        <v>50</v>
      </c>
      <c r="B251" s="4">
        <v>0</v>
      </c>
      <c r="C251" s="4">
        <v>0</v>
      </c>
      <c r="D251" s="4">
        <v>1</v>
      </c>
      <c r="E251" s="4">
        <v>225</v>
      </c>
      <c r="F251" s="4">
        <f>ROUND(Source!AV246,O251)</f>
        <v>3684583.08</v>
      </c>
      <c r="G251" s="4" t="s">
        <v>100</v>
      </c>
      <c r="H251" s="4" t="s">
        <v>101</v>
      </c>
      <c r="I251" s="4"/>
      <c r="J251" s="4"/>
      <c r="K251" s="4">
        <v>225</v>
      </c>
      <c r="L251" s="4">
        <v>4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3684583.08</v>
      </c>
      <c r="X251" s="4">
        <v>1</v>
      </c>
      <c r="Y251" s="4">
        <v>3684583.08</v>
      </c>
      <c r="Z251" s="4"/>
      <c r="AA251" s="4"/>
      <c r="AB251" s="4"/>
    </row>
    <row r="252" spans="1:206" ht="13" x14ac:dyDescent="0.3">
      <c r="A252" s="4">
        <v>50</v>
      </c>
      <c r="B252" s="4">
        <v>0</v>
      </c>
      <c r="C252" s="4">
        <v>0</v>
      </c>
      <c r="D252" s="4">
        <v>1</v>
      </c>
      <c r="E252" s="4">
        <v>226</v>
      </c>
      <c r="F252" s="4">
        <f>ROUND(Source!AW246,O252)</f>
        <v>3684583.08</v>
      </c>
      <c r="G252" s="4" t="s">
        <v>102</v>
      </c>
      <c r="H252" s="4" t="s">
        <v>103</v>
      </c>
      <c r="I252" s="4"/>
      <c r="J252" s="4"/>
      <c r="K252" s="4">
        <v>226</v>
      </c>
      <c r="L252" s="4">
        <v>5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3684583.08</v>
      </c>
      <c r="X252" s="4">
        <v>1</v>
      </c>
      <c r="Y252" s="4">
        <v>3684583.08</v>
      </c>
      <c r="Z252" s="4"/>
      <c r="AA252" s="4"/>
      <c r="AB252" s="4"/>
    </row>
    <row r="253" spans="1:206" ht="13" x14ac:dyDescent="0.3">
      <c r="A253" s="4">
        <v>50</v>
      </c>
      <c r="B253" s="4">
        <v>0</v>
      </c>
      <c r="C253" s="4">
        <v>0</v>
      </c>
      <c r="D253" s="4">
        <v>1</v>
      </c>
      <c r="E253" s="4">
        <v>227</v>
      </c>
      <c r="F253" s="4">
        <f>ROUND(Source!AX246,O253)</f>
        <v>0</v>
      </c>
      <c r="G253" s="4" t="s">
        <v>104</v>
      </c>
      <c r="H253" s="4" t="s">
        <v>105</v>
      </c>
      <c r="I253" s="4"/>
      <c r="J253" s="4"/>
      <c r="K253" s="4">
        <v>227</v>
      </c>
      <c r="L253" s="4">
        <v>6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06" ht="13" x14ac:dyDescent="0.3">
      <c r="A254" s="4">
        <v>50</v>
      </c>
      <c r="B254" s="4">
        <v>0</v>
      </c>
      <c r="C254" s="4">
        <v>0</v>
      </c>
      <c r="D254" s="4">
        <v>1</v>
      </c>
      <c r="E254" s="4">
        <v>228</v>
      </c>
      <c r="F254" s="4">
        <f>ROUND(Source!AY246,O254)</f>
        <v>3684583.08</v>
      </c>
      <c r="G254" s="4" t="s">
        <v>106</v>
      </c>
      <c r="H254" s="4" t="s">
        <v>107</v>
      </c>
      <c r="I254" s="4"/>
      <c r="J254" s="4"/>
      <c r="K254" s="4">
        <v>228</v>
      </c>
      <c r="L254" s="4">
        <v>7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3684583.08</v>
      </c>
      <c r="X254" s="4">
        <v>1</v>
      </c>
      <c r="Y254" s="4">
        <v>3684583.08</v>
      </c>
      <c r="Z254" s="4"/>
      <c r="AA254" s="4"/>
      <c r="AB254" s="4"/>
    </row>
    <row r="255" spans="1:206" ht="13" x14ac:dyDescent="0.3">
      <c r="A255" s="4">
        <v>50</v>
      </c>
      <c r="B255" s="4">
        <v>0</v>
      </c>
      <c r="C255" s="4">
        <v>0</v>
      </c>
      <c r="D255" s="4">
        <v>1</v>
      </c>
      <c r="E255" s="4">
        <v>216</v>
      </c>
      <c r="F255" s="4">
        <f>ROUND(Source!AP246,O255)</f>
        <v>0</v>
      </c>
      <c r="G255" s="4" t="s">
        <v>108</v>
      </c>
      <c r="H255" s="4" t="s">
        <v>109</v>
      </c>
      <c r="I255" s="4"/>
      <c r="J255" s="4"/>
      <c r="K255" s="4">
        <v>216</v>
      </c>
      <c r="L255" s="4">
        <v>8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06" ht="13" x14ac:dyDescent="0.3">
      <c r="A256" s="4">
        <v>50</v>
      </c>
      <c r="B256" s="4">
        <v>0</v>
      </c>
      <c r="C256" s="4">
        <v>0</v>
      </c>
      <c r="D256" s="4">
        <v>1</v>
      </c>
      <c r="E256" s="4">
        <v>223</v>
      </c>
      <c r="F256" s="4">
        <f>ROUND(Source!AQ246,O256)</f>
        <v>0</v>
      </c>
      <c r="G256" s="4" t="s">
        <v>110</v>
      </c>
      <c r="H256" s="4" t="s">
        <v>111</v>
      </c>
      <c r="I256" s="4"/>
      <c r="J256" s="4"/>
      <c r="K256" s="4">
        <v>223</v>
      </c>
      <c r="L256" s="4">
        <v>9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8" ht="13" x14ac:dyDescent="0.3">
      <c r="A257" s="4">
        <v>50</v>
      </c>
      <c r="B257" s="4">
        <v>0</v>
      </c>
      <c r="C257" s="4">
        <v>0</v>
      </c>
      <c r="D257" s="4">
        <v>1</v>
      </c>
      <c r="E257" s="4">
        <v>229</v>
      </c>
      <c r="F257" s="4">
        <f>ROUND(Source!AZ246,O257)</f>
        <v>0</v>
      </c>
      <c r="G257" s="4" t="s">
        <v>112</v>
      </c>
      <c r="H257" s="4" t="s">
        <v>113</v>
      </c>
      <c r="I257" s="4"/>
      <c r="J257" s="4"/>
      <c r="K257" s="4">
        <v>229</v>
      </c>
      <c r="L257" s="4">
        <v>10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8" ht="13" x14ac:dyDescent="0.3">
      <c r="A258" s="4">
        <v>50</v>
      </c>
      <c r="B258" s="4">
        <v>0</v>
      </c>
      <c r="C258" s="4">
        <v>0</v>
      </c>
      <c r="D258" s="4">
        <v>1</v>
      </c>
      <c r="E258" s="4">
        <v>203</v>
      </c>
      <c r="F258" s="4">
        <f>ROUND(Source!Q246,O258)</f>
        <v>28176187.800000001</v>
      </c>
      <c r="G258" s="4" t="s">
        <v>114</v>
      </c>
      <c r="H258" s="4" t="s">
        <v>115</v>
      </c>
      <c r="I258" s="4"/>
      <c r="J258" s="4"/>
      <c r="K258" s="4">
        <v>203</v>
      </c>
      <c r="L258" s="4">
        <v>11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28176187.800000001</v>
      </c>
      <c r="X258" s="4">
        <v>1</v>
      </c>
      <c r="Y258" s="4">
        <v>28176187.800000001</v>
      </c>
      <c r="Z258" s="4"/>
      <c r="AA258" s="4"/>
      <c r="AB258" s="4"/>
    </row>
    <row r="259" spans="1:28" ht="13" x14ac:dyDescent="0.3">
      <c r="A259" s="4">
        <v>50</v>
      </c>
      <c r="B259" s="4">
        <v>0</v>
      </c>
      <c r="C259" s="4">
        <v>0</v>
      </c>
      <c r="D259" s="4">
        <v>1</v>
      </c>
      <c r="E259" s="4">
        <v>231</v>
      </c>
      <c r="F259" s="4">
        <f>ROUND(Source!BB246,O259)</f>
        <v>0</v>
      </c>
      <c r="G259" s="4" t="s">
        <v>116</v>
      </c>
      <c r="H259" s="4" t="s">
        <v>117</v>
      </c>
      <c r="I259" s="4"/>
      <c r="J259" s="4"/>
      <c r="K259" s="4">
        <v>231</v>
      </c>
      <c r="L259" s="4">
        <v>12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0</v>
      </c>
      <c r="X259" s="4">
        <v>1</v>
      </c>
      <c r="Y259" s="4">
        <v>0</v>
      </c>
      <c r="Z259" s="4"/>
      <c r="AA259" s="4"/>
      <c r="AB259" s="4"/>
    </row>
    <row r="260" spans="1:28" ht="13" x14ac:dyDescent="0.3">
      <c r="A260" s="4">
        <v>50</v>
      </c>
      <c r="B260" s="4">
        <v>0</v>
      </c>
      <c r="C260" s="4">
        <v>0</v>
      </c>
      <c r="D260" s="4">
        <v>1</v>
      </c>
      <c r="E260" s="4">
        <v>204</v>
      </c>
      <c r="F260" s="4">
        <f>ROUND(Source!R246,O260)</f>
        <v>12808365.640000001</v>
      </c>
      <c r="G260" s="4" t="s">
        <v>118</v>
      </c>
      <c r="H260" s="4" t="s">
        <v>119</v>
      </c>
      <c r="I260" s="4"/>
      <c r="J260" s="4"/>
      <c r="K260" s="4">
        <v>204</v>
      </c>
      <c r="L260" s="4">
        <v>13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12808365.640000001</v>
      </c>
      <c r="X260" s="4">
        <v>1</v>
      </c>
      <c r="Y260" s="4">
        <v>12808365.640000001</v>
      </c>
      <c r="Z260" s="4"/>
      <c r="AA260" s="4"/>
      <c r="AB260" s="4"/>
    </row>
    <row r="261" spans="1:28" ht="13" x14ac:dyDescent="0.3">
      <c r="A261" s="4">
        <v>50</v>
      </c>
      <c r="B261" s="4">
        <v>0</v>
      </c>
      <c r="C261" s="4">
        <v>0</v>
      </c>
      <c r="D261" s="4">
        <v>1</v>
      </c>
      <c r="E261" s="4">
        <v>205</v>
      </c>
      <c r="F261" s="4">
        <f>ROUND(Source!S246,O261)</f>
        <v>15480112.390000001</v>
      </c>
      <c r="G261" s="4" t="s">
        <v>120</v>
      </c>
      <c r="H261" s="4" t="s">
        <v>121</v>
      </c>
      <c r="I261" s="4"/>
      <c r="J261" s="4"/>
      <c r="K261" s="4">
        <v>205</v>
      </c>
      <c r="L261" s="4">
        <v>14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15480112.390000001</v>
      </c>
      <c r="X261" s="4">
        <v>1</v>
      </c>
      <c r="Y261" s="4">
        <v>15480112.390000001</v>
      </c>
      <c r="Z261" s="4"/>
      <c r="AA261" s="4"/>
      <c r="AB261" s="4"/>
    </row>
    <row r="262" spans="1:28" ht="13" x14ac:dyDescent="0.3">
      <c r="A262" s="4">
        <v>50</v>
      </c>
      <c r="B262" s="4">
        <v>0</v>
      </c>
      <c r="C262" s="4">
        <v>0</v>
      </c>
      <c r="D262" s="4">
        <v>1</v>
      </c>
      <c r="E262" s="4">
        <v>232</v>
      </c>
      <c r="F262" s="4">
        <f>ROUND(Source!BC246,O262)</f>
        <v>0</v>
      </c>
      <c r="G262" s="4" t="s">
        <v>122</v>
      </c>
      <c r="H262" s="4" t="s">
        <v>123</v>
      </c>
      <c r="I262" s="4"/>
      <c r="J262" s="4"/>
      <c r="K262" s="4">
        <v>232</v>
      </c>
      <c r="L262" s="4">
        <v>15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0</v>
      </c>
      <c r="X262" s="4">
        <v>1</v>
      </c>
      <c r="Y262" s="4">
        <v>0</v>
      </c>
      <c r="Z262" s="4"/>
      <c r="AA262" s="4"/>
      <c r="AB262" s="4"/>
    </row>
    <row r="263" spans="1:28" ht="13" x14ac:dyDescent="0.3">
      <c r="A263" s="4">
        <v>50</v>
      </c>
      <c r="B263" s="4">
        <v>0</v>
      </c>
      <c r="C263" s="4">
        <v>0</v>
      </c>
      <c r="D263" s="4">
        <v>1</v>
      </c>
      <c r="E263" s="4">
        <v>214</v>
      </c>
      <c r="F263" s="4">
        <f>ROUND(Source!AS246,O263)</f>
        <v>0</v>
      </c>
      <c r="G263" s="4" t="s">
        <v>124</v>
      </c>
      <c r="H263" s="4" t="s">
        <v>125</v>
      </c>
      <c r="I263" s="4"/>
      <c r="J263" s="4"/>
      <c r="K263" s="4">
        <v>214</v>
      </c>
      <c r="L263" s="4">
        <v>16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8" ht="13" x14ac:dyDescent="0.3">
      <c r="A264" s="4">
        <v>50</v>
      </c>
      <c r="B264" s="4">
        <v>0</v>
      </c>
      <c r="C264" s="4">
        <v>0</v>
      </c>
      <c r="D264" s="4">
        <v>1</v>
      </c>
      <c r="E264" s="4">
        <v>215</v>
      </c>
      <c r="F264" s="4">
        <f>ROUND(Source!AT246,O264)</f>
        <v>0</v>
      </c>
      <c r="G264" s="4" t="s">
        <v>126</v>
      </c>
      <c r="H264" s="4" t="s">
        <v>127</v>
      </c>
      <c r="I264" s="4"/>
      <c r="J264" s="4"/>
      <c r="K264" s="4">
        <v>215</v>
      </c>
      <c r="L264" s="4">
        <v>17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0</v>
      </c>
      <c r="X264" s="4">
        <v>1</v>
      </c>
      <c r="Y264" s="4">
        <v>0</v>
      </c>
      <c r="Z264" s="4"/>
      <c r="AA264" s="4"/>
      <c r="AB264" s="4"/>
    </row>
    <row r="265" spans="1:28" ht="13" x14ac:dyDescent="0.3">
      <c r="A265" s="4">
        <v>50</v>
      </c>
      <c r="B265" s="4">
        <v>0</v>
      </c>
      <c r="C265" s="4">
        <v>0</v>
      </c>
      <c r="D265" s="4">
        <v>1</v>
      </c>
      <c r="E265" s="4">
        <v>217</v>
      </c>
      <c r="F265" s="4">
        <f>ROUND(Source!AU246,O265)</f>
        <v>73558008.109999999</v>
      </c>
      <c r="G265" s="4" t="s">
        <v>128</v>
      </c>
      <c r="H265" s="4" t="s">
        <v>129</v>
      </c>
      <c r="I265" s="4"/>
      <c r="J265" s="4"/>
      <c r="K265" s="4">
        <v>217</v>
      </c>
      <c r="L265" s="4">
        <v>18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73558008.109999999</v>
      </c>
      <c r="X265" s="4">
        <v>1</v>
      </c>
      <c r="Y265" s="4">
        <v>73558008.109999999</v>
      </c>
      <c r="Z265" s="4"/>
      <c r="AA265" s="4"/>
      <c r="AB265" s="4"/>
    </row>
    <row r="266" spans="1:28" ht="13" x14ac:dyDescent="0.3">
      <c r="A266" s="4">
        <v>50</v>
      </c>
      <c r="B266" s="4">
        <v>0</v>
      </c>
      <c r="C266" s="4">
        <v>0</v>
      </c>
      <c r="D266" s="4">
        <v>1</v>
      </c>
      <c r="E266" s="4">
        <v>230</v>
      </c>
      <c r="F266" s="4">
        <f>ROUND(Source!BA246,O266)</f>
        <v>0</v>
      </c>
      <c r="G266" s="4" t="s">
        <v>130</v>
      </c>
      <c r="H266" s="4" t="s">
        <v>131</v>
      </c>
      <c r="I266" s="4"/>
      <c r="J266" s="4"/>
      <c r="K266" s="4">
        <v>230</v>
      </c>
      <c r="L266" s="4">
        <v>19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7" spans="1:28" ht="13" x14ac:dyDescent="0.3">
      <c r="A267" s="4">
        <v>50</v>
      </c>
      <c r="B267" s="4">
        <v>0</v>
      </c>
      <c r="C267" s="4">
        <v>0</v>
      </c>
      <c r="D267" s="4">
        <v>1</v>
      </c>
      <c r="E267" s="4">
        <v>206</v>
      </c>
      <c r="F267" s="4">
        <f>ROUND(Source!T246,O267)</f>
        <v>0</v>
      </c>
      <c r="G267" s="4" t="s">
        <v>132</v>
      </c>
      <c r="H267" s="4" t="s">
        <v>133</v>
      </c>
      <c r="I267" s="4"/>
      <c r="J267" s="4"/>
      <c r="K267" s="4">
        <v>206</v>
      </c>
      <c r="L267" s="4">
        <v>20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8" ht="13" x14ac:dyDescent="0.3">
      <c r="A268" s="4">
        <v>50</v>
      </c>
      <c r="B268" s="4">
        <v>0</v>
      </c>
      <c r="C268" s="4">
        <v>0</v>
      </c>
      <c r="D268" s="4">
        <v>1</v>
      </c>
      <c r="E268" s="4">
        <v>207</v>
      </c>
      <c r="F268" s="4">
        <f>Source!U246</f>
        <v>34195.882076000002</v>
      </c>
      <c r="G268" s="4" t="s">
        <v>134</v>
      </c>
      <c r="H268" s="4" t="s">
        <v>135</v>
      </c>
      <c r="I268" s="4"/>
      <c r="J268" s="4"/>
      <c r="K268" s="4">
        <v>207</v>
      </c>
      <c r="L268" s="4">
        <v>21</v>
      </c>
      <c r="M268" s="4">
        <v>3</v>
      </c>
      <c r="N268" s="4" t="s">
        <v>3</v>
      </c>
      <c r="O268" s="4">
        <v>-1</v>
      </c>
      <c r="P268" s="4"/>
      <c r="Q268" s="4"/>
      <c r="R268" s="4"/>
      <c r="S268" s="4"/>
      <c r="T268" s="4"/>
      <c r="U268" s="4"/>
      <c r="V268" s="4"/>
      <c r="W268" s="4">
        <v>34195.882076000009</v>
      </c>
      <c r="X268" s="4">
        <v>1</v>
      </c>
      <c r="Y268" s="4">
        <v>34195.882076000009</v>
      </c>
      <c r="Z268" s="4"/>
      <c r="AA268" s="4"/>
      <c r="AB268" s="4"/>
    </row>
    <row r="269" spans="1:28" ht="13" x14ac:dyDescent="0.3">
      <c r="A269" s="4">
        <v>50</v>
      </c>
      <c r="B269" s="4">
        <v>0</v>
      </c>
      <c r="C269" s="4">
        <v>0</v>
      </c>
      <c r="D269" s="4">
        <v>1</v>
      </c>
      <c r="E269" s="4">
        <v>208</v>
      </c>
      <c r="F269" s="4">
        <f>Source!V246</f>
        <v>0</v>
      </c>
      <c r="G269" s="4" t="s">
        <v>136</v>
      </c>
      <c r="H269" s="4" t="s">
        <v>137</v>
      </c>
      <c r="I269" s="4"/>
      <c r="J269" s="4"/>
      <c r="K269" s="4">
        <v>208</v>
      </c>
      <c r="L269" s="4">
        <v>22</v>
      </c>
      <c r="M269" s="4">
        <v>3</v>
      </c>
      <c r="N269" s="4" t="s">
        <v>3</v>
      </c>
      <c r="O269" s="4">
        <v>-1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8" ht="13" x14ac:dyDescent="0.3">
      <c r="A270" s="4">
        <v>50</v>
      </c>
      <c r="B270" s="4">
        <v>0</v>
      </c>
      <c r="C270" s="4">
        <v>0</v>
      </c>
      <c r="D270" s="4">
        <v>1</v>
      </c>
      <c r="E270" s="4">
        <v>209</v>
      </c>
      <c r="F270" s="4">
        <f>ROUND(Source!W246,O270)</f>
        <v>0</v>
      </c>
      <c r="G270" s="4" t="s">
        <v>138</v>
      </c>
      <c r="H270" s="4" t="s">
        <v>139</v>
      </c>
      <c r="I270" s="4"/>
      <c r="J270" s="4"/>
      <c r="K270" s="4">
        <v>209</v>
      </c>
      <c r="L270" s="4">
        <v>23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0</v>
      </c>
      <c r="X270" s="4">
        <v>1</v>
      </c>
      <c r="Y270" s="4">
        <v>0</v>
      </c>
      <c r="Z270" s="4"/>
      <c r="AA270" s="4"/>
      <c r="AB270" s="4"/>
    </row>
    <row r="271" spans="1:28" ht="13" x14ac:dyDescent="0.3">
      <c r="A271" s="4">
        <v>50</v>
      </c>
      <c r="B271" s="4">
        <v>0</v>
      </c>
      <c r="C271" s="4">
        <v>0</v>
      </c>
      <c r="D271" s="4">
        <v>1</v>
      </c>
      <c r="E271" s="4">
        <v>233</v>
      </c>
      <c r="F271" s="4">
        <f>ROUND(Source!BD246,O271)</f>
        <v>0</v>
      </c>
      <c r="G271" s="4" t="s">
        <v>140</v>
      </c>
      <c r="H271" s="4" t="s">
        <v>141</v>
      </c>
      <c r="I271" s="4"/>
      <c r="J271" s="4"/>
      <c r="K271" s="4">
        <v>233</v>
      </c>
      <c r="L271" s="4">
        <v>24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0</v>
      </c>
      <c r="X271" s="4">
        <v>1</v>
      </c>
      <c r="Y271" s="4">
        <v>0</v>
      </c>
      <c r="Z271" s="4"/>
      <c r="AA271" s="4"/>
      <c r="AB271" s="4"/>
    </row>
    <row r="272" spans="1:28" ht="13" x14ac:dyDescent="0.3">
      <c r="A272" s="4">
        <v>50</v>
      </c>
      <c r="B272" s="4">
        <v>0</v>
      </c>
      <c r="C272" s="4">
        <v>0</v>
      </c>
      <c r="D272" s="4">
        <v>1</v>
      </c>
      <c r="E272" s="4">
        <v>210</v>
      </c>
      <c r="F272" s="4">
        <f>ROUND(Source!X246,O272)</f>
        <v>10836078.710000001</v>
      </c>
      <c r="G272" s="4" t="s">
        <v>142</v>
      </c>
      <c r="H272" s="4" t="s">
        <v>143</v>
      </c>
      <c r="I272" s="4"/>
      <c r="J272" s="4"/>
      <c r="K272" s="4">
        <v>210</v>
      </c>
      <c r="L272" s="4">
        <v>25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10836078.710000001</v>
      </c>
      <c r="X272" s="4">
        <v>1</v>
      </c>
      <c r="Y272" s="4">
        <v>10836078.710000001</v>
      </c>
      <c r="Z272" s="4"/>
      <c r="AA272" s="4"/>
      <c r="AB272" s="4"/>
    </row>
    <row r="273" spans="1:28" ht="13" x14ac:dyDescent="0.3">
      <c r="A273" s="4">
        <v>50</v>
      </c>
      <c r="B273" s="4">
        <v>0</v>
      </c>
      <c r="C273" s="4">
        <v>0</v>
      </c>
      <c r="D273" s="4">
        <v>1</v>
      </c>
      <c r="E273" s="4">
        <v>211</v>
      </c>
      <c r="F273" s="4">
        <f>ROUND(Source!Y246,O273)</f>
        <v>1548011.27</v>
      </c>
      <c r="G273" s="4" t="s">
        <v>144</v>
      </c>
      <c r="H273" s="4" t="s">
        <v>145</v>
      </c>
      <c r="I273" s="4"/>
      <c r="J273" s="4"/>
      <c r="K273" s="4">
        <v>211</v>
      </c>
      <c r="L273" s="4">
        <v>26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1548011.27</v>
      </c>
      <c r="X273" s="4">
        <v>1</v>
      </c>
      <c r="Y273" s="4">
        <v>1548011.27</v>
      </c>
      <c r="Z273" s="4"/>
      <c r="AA273" s="4"/>
      <c r="AB273" s="4"/>
    </row>
    <row r="274" spans="1:28" ht="13" x14ac:dyDescent="0.3">
      <c r="A274" s="4">
        <v>50</v>
      </c>
      <c r="B274" s="4">
        <v>0</v>
      </c>
      <c r="C274" s="4">
        <v>0</v>
      </c>
      <c r="D274" s="4">
        <v>1</v>
      </c>
      <c r="E274" s="4">
        <v>224</v>
      </c>
      <c r="F274" s="4">
        <f>ROUND(Source!AR246,O274)</f>
        <v>73558008.109999999</v>
      </c>
      <c r="G274" s="4" t="s">
        <v>146</v>
      </c>
      <c r="H274" s="4" t="s">
        <v>147</v>
      </c>
      <c r="I274" s="4"/>
      <c r="J274" s="4"/>
      <c r="K274" s="4">
        <v>224</v>
      </c>
      <c r="L274" s="4">
        <v>27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73558008.109999999</v>
      </c>
      <c r="X274" s="4">
        <v>1</v>
      </c>
      <c r="Y274" s="4">
        <v>73558008.109999999</v>
      </c>
      <c r="Z274" s="4"/>
      <c r="AA274" s="4"/>
      <c r="AB274" s="4"/>
    </row>
    <row r="275" spans="1:28" ht="13" x14ac:dyDescent="0.3">
      <c r="A275" s="4">
        <v>50</v>
      </c>
      <c r="B275" s="4">
        <v>1</v>
      </c>
      <c r="C275" s="4">
        <v>0</v>
      </c>
      <c r="D275" s="4">
        <v>2</v>
      </c>
      <c r="E275" s="4">
        <v>0</v>
      </c>
      <c r="F275" s="4">
        <f>ROUND(F274,O275)</f>
        <v>73558008.109999999</v>
      </c>
      <c r="G275" s="4" t="s">
        <v>257</v>
      </c>
      <c r="H275" s="4" t="s">
        <v>258</v>
      </c>
      <c r="I275" s="4"/>
      <c r="J275" s="4"/>
      <c r="K275" s="4">
        <v>212</v>
      </c>
      <c r="L275" s="4">
        <v>28</v>
      </c>
      <c r="M275" s="4">
        <v>0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73558008.109999999</v>
      </c>
      <c r="X275" s="4">
        <v>1</v>
      </c>
      <c r="Y275" s="4">
        <v>73558008.109999999</v>
      </c>
      <c r="Z275" s="4"/>
      <c r="AA275" s="4"/>
      <c r="AB275" s="4"/>
    </row>
    <row r="276" spans="1:28" ht="13" x14ac:dyDescent="0.3">
      <c r="A276" s="4">
        <v>50</v>
      </c>
      <c r="B276" s="4">
        <v>1</v>
      </c>
      <c r="C276" s="4">
        <v>0</v>
      </c>
      <c r="D276" s="4">
        <v>2</v>
      </c>
      <c r="E276" s="4">
        <v>0</v>
      </c>
      <c r="F276" s="4">
        <f>ROUND(F275*0.22,O276)</f>
        <v>16182761.779999999</v>
      </c>
      <c r="G276" s="4" t="s">
        <v>259</v>
      </c>
      <c r="H276" s="4" t="s">
        <v>381</v>
      </c>
      <c r="I276" s="4"/>
      <c r="J276" s="4"/>
      <c r="K276" s="4">
        <v>212</v>
      </c>
      <c r="L276" s="4">
        <v>29</v>
      </c>
      <c r="M276" s="4">
        <v>0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14711601.619999999</v>
      </c>
      <c r="X276" s="4">
        <v>1</v>
      </c>
      <c r="Y276" s="4">
        <v>14711601.619999999</v>
      </c>
      <c r="Z276" s="4"/>
      <c r="AA276" s="4"/>
      <c r="AB276" s="4"/>
    </row>
    <row r="277" spans="1:28" ht="13" x14ac:dyDescent="0.3">
      <c r="A277" s="4">
        <v>50</v>
      </c>
      <c r="B277" s="4">
        <v>1</v>
      </c>
      <c r="C277" s="4">
        <v>0</v>
      </c>
      <c r="D277" s="4">
        <v>2</v>
      </c>
      <c r="E277" s="4">
        <v>213</v>
      </c>
      <c r="F277" s="4">
        <f>ROUND(F275+F276,O277)</f>
        <v>89740769.890000001</v>
      </c>
      <c r="G277" s="4" t="s">
        <v>260</v>
      </c>
      <c r="H277" s="4" t="s">
        <v>146</v>
      </c>
      <c r="I277" s="4"/>
      <c r="J277" s="4"/>
      <c r="K277" s="4">
        <v>212</v>
      </c>
      <c r="L277" s="4">
        <v>30</v>
      </c>
      <c r="M277" s="4">
        <v>0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88269609.730000004</v>
      </c>
      <c r="X277" s="4">
        <v>1</v>
      </c>
      <c r="Y277" s="4">
        <v>88269609.730000004</v>
      </c>
      <c r="Z277" s="4"/>
      <c r="AA277" s="4"/>
      <c r="AB277" s="4"/>
    </row>
    <row r="280" spans="1:28" x14ac:dyDescent="0.25">
      <c r="A280">
        <v>-1</v>
      </c>
    </row>
    <row r="282" spans="1:28" ht="13" x14ac:dyDescent="0.3">
      <c r="A282" s="3">
        <v>75</v>
      </c>
      <c r="B282" s="3" t="s">
        <v>261</v>
      </c>
      <c r="C282" s="3">
        <v>2025</v>
      </c>
      <c r="D282" s="3">
        <v>4</v>
      </c>
      <c r="E282" s="3">
        <v>0</v>
      </c>
      <c r="F282" s="3">
        <v>0</v>
      </c>
      <c r="G282" s="3">
        <v>0</v>
      </c>
      <c r="H282" s="3">
        <v>1</v>
      </c>
      <c r="I282" s="3">
        <v>0</v>
      </c>
      <c r="J282" s="3">
        <v>1</v>
      </c>
      <c r="K282" s="3">
        <v>78</v>
      </c>
      <c r="L282" s="3">
        <v>30</v>
      </c>
      <c r="M282" s="3">
        <v>0</v>
      </c>
      <c r="N282" s="3">
        <v>80890340</v>
      </c>
      <c r="O282" s="3">
        <v>1</v>
      </c>
    </row>
    <row r="286" spans="1:28" x14ac:dyDescent="0.25">
      <c r="A286">
        <v>65</v>
      </c>
      <c r="C286">
        <v>1</v>
      </c>
      <c r="D286">
        <v>0</v>
      </c>
      <c r="E286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08AF2-2437-4412-9A6C-00E1BFDD35C4}">
  <dimension ref="A1:EC54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262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33" ht="13" x14ac:dyDescent="0.3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ht="13" x14ac:dyDescent="0.3">
      <c r="A14" s="1">
        <v>22</v>
      </c>
      <c r="B14" s="1">
        <v>1</v>
      </c>
      <c r="C14" s="1">
        <v>0</v>
      </c>
      <c r="D14" s="1">
        <v>80890340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5">
      <c r="A16" s="5">
        <v>3</v>
      </c>
      <c r="B16" s="5">
        <v>1</v>
      </c>
      <c r="C16" s="5" t="s">
        <v>12</v>
      </c>
      <c r="D16" s="5" t="s">
        <v>13</v>
      </c>
      <c r="E16" s="6">
        <f>ROUND((Source!F231)/1000,2)</f>
        <v>0</v>
      </c>
      <c r="F16" s="6">
        <f>ROUND((Source!F232)/1000,2)</f>
        <v>0</v>
      </c>
      <c r="G16" s="6">
        <f>ROUND((Source!F223)/1000,2)</f>
        <v>0</v>
      </c>
      <c r="H16" s="6">
        <f>ROUND((Source!F233)/1000+(Source!F234)/1000,2)</f>
        <v>73558.009999999995</v>
      </c>
      <c r="I16" s="6">
        <f>E16+F16+G16+H16</f>
        <v>73558.009999999995</v>
      </c>
      <c r="J16" s="6">
        <f>ROUND((Source!F229+Source!F228)/1000,2)</f>
        <v>28288.48</v>
      </c>
      <c r="K16" s="6">
        <v>51025.47</v>
      </c>
      <c r="L16" s="6">
        <v>0</v>
      </c>
      <c r="M16" s="6">
        <v>0</v>
      </c>
      <c r="N16" s="6">
        <f>I16+L16+M16</f>
        <v>73558.009999999995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47340883.270000003</v>
      </c>
      <c r="AU16" s="6">
        <v>3684583.08</v>
      </c>
      <c r="AV16" s="6">
        <v>0</v>
      </c>
      <c r="AW16" s="6">
        <v>0</v>
      </c>
      <c r="AX16" s="6">
        <v>0</v>
      </c>
      <c r="AY16" s="6">
        <v>28176187.800000001</v>
      </c>
      <c r="AZ16" s="6">
        <v>12808365.640000001</v>
      </c>
      <c r="BA16" s="6">
        <v>15480112.390000001</v>
      </c>
      <c r="BB16" s="6">
        <v>0</v>
      </c>
      <c r="BC16" s="6">
        <v>0</v>
      </c>
      <c r="BD16" s="6">
        <v>73558008.109999999</v>
      </c>
      <c r="BE16" s="6">
        <v>0</v>
      </c>
      <c r="BF16" s="6">
        <v>34195.882076000009</v>
      </c>
      <c r="BG16" s="6">
        <v>0</v>
      </c>
      <c r="BH16" s="6">
        <v>0</v>
      </c>
      <c r="BI16" s="6">
        <v>10836078.710000001</v>
      </c>
      <c r="BJ16" s="6">
        <v>1548011.27</v>
      </c>
      <c r="BK16" s="6">
        <v>73558008.109999999</v>
      </c>
    </row>
    <row r="18" spans="1:16" x14ac:dyDescent="0.25">
      <c r="A18">
        <v>51</v>
      </c>
      <c r="E18">
        <v>0</v>
      </c>
      <c r="F18">
        <v>0</v>
      </c>
      <c r="G18">
        <v>0</v>
      </c>
      <c r="H18">
        <v>73558.009999999995</v>
      </c>
      <c r="I18">
        <v>73558.009999999995</v>
      </c>
      <c r="J18">
        <v>28288.48</v>
      </c>
      <c r="K18">
        <v>51025.47</v>
      </c>
      <c r="L18">
        <v>0</v>
      </c>
      <c r="M18">
        <v>0</v>
      </c>
      <c r="N18">
        <v>73558.009999999995</v>
      </c>
    </row>
    <row r="20" spans="1:16" ht="13" x14ac:dyDescent="0.3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47340883.270000003</v>
      </c>
      <c r="G20" s="4" t="s">
        <v>94</v>
      </c>
      <c r="H20" s="4" t="s">
        <v>95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6" ht="13" x14ac:dyDescent="0.3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3684583.08</v>
      </c>
      <c r="G21" s="4" t="s">
        <v>96</v>
      </c>
      <c r="H21" s="4" t="s">
        <v>97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6" ht="13" x14ac:dyDescent="0.3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98</v>
      </c>
      <c r="H22" s="4" t="s">
        <v>99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6" ht="13" x14ac:dyDescent="0.3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3684583.08</v>
      </c>
      <c r="G23" s="4" t="s">
        <v>100</v>
      </c>
      <c r="H23" s="4" t="s">
        <v>101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6" ht="13" x14ac:dyDescent="0.3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3684583.08</v>
      </c>
      <c r="G24" s="4" t="s">
        <v>102</v>
      </c>
      <c r="H24" s="4" t="s">
        <v>103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6" ht="13" x14ac:dyDescent="0.3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104</v>
      </c>
      <c r="H25" s="4" t="s">
        <v>105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6" ht="13" x14ac:dyDescent="0.3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3684583.08</v>
      </c>
      <c r="G26" s="4" t="s">
        <v>106</v>
      </c>
      <c r="H26" s="4" t="s">
        <v>107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6" ht="13" x14ac:dyDescent="0.3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108</v>
      </c>
      <c r="H27" s="4" t="s">
        <v>109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6" ht="13" x14ac:dyDescent="0.3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110</v>
      </c>
      <c r="H28" s="4" t="s">
        <v>111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6" ht="13" x14ac:dyDescent="0.3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112</v>
      </c>
      <c r="H29" s="4" t="s">
        <v>113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6" ht="13" x14ac:dyDescent="0.3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28176187.800000001</v>
      </c>
      <c r="G30" s="4" t="s">
        <v>114</v>
      </c>
      <c r="H30" s="4" t="s">
        <v>115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6" ht="13" x14ac:dyDescent="0.3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116</v>
      </c>
      <c r="H31" s="4" t="s">
        <v>117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6" ht="13" x14ac:dyDescent="0.3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12808365.640000001</v>
      </c>
      <c r="G32" s="4" t="s">
        <v>118</v>
      </c>
      <c r="H32" s="4" t="s">
        <v>119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ht="13" x14ac:dyDescent="0.3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15480112.390000001</v>
      </c>
      <c r="G33" s="4" t="s">
        <v>120</v>
      </c>
      <c r="H33" s="4" t="s">
        <v>121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ht="13" x14ac:dyDescent="0.3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122</v>
      </c>
      <c r="H34" s="4" t="s">
        <v>123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ht="13" x14ac:dyDescent="0.3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124</v>
      </c>
      <c r="H35" s="4" t="s">
        <v>125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ht="13" x14ac:dyDescent="0.3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126</v>
      </c>
      <c r="H36" s="4" t="s">
        <v>127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ht="13" x14ac:dyDescent="0.3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73558008.109999999</v>
      </c>
      <c r="G37" s="4" t="s">
        <v>128</v>
      </c>
      <c r="H37" s="4" t="s">
        <v>129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ht="13" x14ac:dyDescent="0.3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130</v>
      </c>
      <c r="H38" s="4" t="s">
        <v>131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ht="13" x14ac:dyDescent="0.3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132</v>
      </c>
      <c r="H39" s="4" t="s">
        <v>133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ht="13" x14ac:dyDescent="0.3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34195.882076000009</v>
      </c>
      <c r="G40" s="4" t="s">
        <v>134</v>
      </c>
      <c r="H40" s="4" t="s">
        <v>135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ht="13" x14ac:dyDescent="0.3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136</v>
      </c>
      <c r="H41" s="4" t="s">
        <v>137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ht="13" x14ac:dyDescent="0.3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138</v>
      </c>
      <c r="H42" s="4" t="s">
        <v>139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ht="13" x14ac:dyDescent="0.3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140</v>
      </c>
      <c r="H43" s="4" t="s">
        <v>141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ht="13" x14ac:dyDescent="0.3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10836078.710000001</v>
      </c>
      <c r="G44" s="4" t="s">
        <v>142</v>
      </c>
      <c r="H44" s="4" t="s">
        <v>143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ht="13" x14ac:dyDescent="0.3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1548011.27</v>
      </c>
      <c r="G45" s="4" t="s">
        <v>144</v>
      </c>
      <c r="H45" s="4" t="s">
        <v>145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ht="13" x14ac:dyDescent="0.3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73558008.109999999</v>
      </c>
      <c r="G46" s="4" t="s">
        <v>146</v>
      </c>
      <c r="H46" s="4" t="s">
        <v>147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ht="13" x14ac:dyDescent="0.3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73558008.109999999</v>
      </c>
      <c r="G47" s="4" t="s">
        <v>257</v>
      </c>
      <c r="H47" s="4" t="s">
        <v>258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ht="13" x14ac:dyDescent="0.3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14711601.619999999</v>
      </c>
      <c r="G48" s="4" t="s">
        <v>259</v>
      </c>
      <c r="H48" s="4" t="s">
        <v>255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ht="13" x14ac:dyDescent="0.3">
      <c r="A49" s="4">
        <v>50</v>
      </c>
      <c r="B49" s="4">
        <v>1</v>
      </c>
      <c r="C49" s="4">
        <v>0</v>
      </c>
      <c r="D49" s="4">
        <v>2</v>
      </c>
      <c r="E49" s="4">
        <v>213</v>
      </c>
      <c r="F49" s="4">
        <v>88269609.730000004</v>
      </c>
      <c r="G49" s="4" t="s">
        <v>260</v>
      </c>
      <c r="H49" s="4" t="s">
        <v>146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5">
      <c r="A51">
        <v>-1</v>
      </c>
    </row>
    <row r="54" spans="1:16" ht="13" x14ac:dyDescent="0.3">
      <c r="A54" s="3">
        <v>75</v>
      </c>
      <c r="B54" s="3" t="s">
        <v>261</v>
      </c>
      <c r="C54" s="3">
        <v>2025</v>
      </c>
      <c r="D54" s="3">
        <v>4</v>
      </c>
      <c r="E54" s="3">
        <v>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80890340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C495D-8252-452C-A0A0-D8D781F9165D}">
  <dimension ref="A1:DO77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19" x14ac:dyDescent="0.25">
      <c r="A1">
        <f>ROW(Source!A32)</f>
        <v>32</v>
      </c>
      <c r="B1">
        <v>80890340</v>
      </c>
      <c r="C1">
        <v>80890527</v>
      </c>
      <c r="D1">
        <v>80213220</v>
      </c>
      <c r="E1">
        <v>1</v>
      </c>
      <c r="F1">
        <v>1</v>
      </c>
      <c r="G1">
        <v>15514512</v>
      </c>
      <c r="H1">
        <v>2</v>
      </c>
      <c r="I1" t="s">
        <v>263</v>
      </c>
      <c r="J1" t="s">
        <v>264</v>
      </c>
      <c r="K1" t="s">
        <v>265</v>
      </c>
      <c r="L1">
        <v>1368</v>
      </c>
      <c r="N1">
        <v>1011</v>
      </c>
      <c r="O1" t="s">
        <v>266</v>
      </c>
      <c r="P1" t="s">
        <v>266</v>
      </c>
      <c r="Q1">
        <v>1</v>
      </c>
      <c r="W1">
        <v>0</v>
      </c>
      <c r="X1">
        <v>645985080</v>
      </c>
      <c r="Y1">
        <f>(AT1*55)</f>
        <v>27.5</v>
      </c>
      <c r="AA1">
        <v>0</v>
      </c>
      <c r="AB1">
        <v>2515.98</v>
      </c>
      <c r="AC1">
        <v>872.98</v>
      </c>
      <c r="AD1">
        <v>0</v>
      </c>
      <c r="AE1">
        <v>0</v>
      </c>
      <c r="AF1">
        <v>2515.98</v>
      </c>
      <c r="AG1">
        <v>872.98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0.5</v>
      </c>
      <c r="AU1" t="s">
        <v>22</v>
      </c>
      <c r="AV1">
        <v>0</v>
      </c>
      <c r="AW1">
        <v>2</v>
      </c>
      <c r="AX1">
        <v>80890720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V1">
        <v>0</v>
      </c>
      <c r="CW1">
        <f>ROUND(Y1*Source!I32*DO1,9)</f>
        <v>0</v>
      </c>
      <c r="CX1">
        <f>ROUND(Y1*Source!I32,9)</f>
        <v>1800.2819999999999</v>
      </c>
      <c r="CY1">
        <f>AB1</f>
        <v>2515.98</v>
      </c>
      <c r="CZ1">
        <f>AF1</f>
        <v>2515.98</v>
      </c>
      <c r="DA1">
        <f>AJ1</f>
        <v>1</v>
      </c>
      <c r="DB1">
        <f>ROUND((ROUND(AT1*CZ1,2)*55),6)</f>
        <v>69189.45</v>
      </c>
      <c r="DC1">
        <f>ROUND((ROUND(AT1*AG1,2)*55),6)</f>
        <v>24006.95</v>
      </c>
      <c r="DD1" t="s">
        <v>3</v>
      </c>
      <c r="DE1" t="s">
        <v>3</v>
      </c>
      <c r="DF1">
        <f t="shared" ref="DF1:DF32" si="0">ROUND(ROUND(AE1,2)*CX1,2)</f>
        <v>0</v>
      </c>
      <c r="DG1">
        <f t="shared" ref="DG1:DG32" si="1">ROUND(ROUND(AF1,2)*CX1,2)</f>
        <v>4529473.51</v>
      </c>
      <c r="DH1">
        <f t="shared" ref="DH1:DH32" si="2">ROUND(ROUND(AG1,2)*CX1,2)</f>
        <v>1571610.18</v>
      </c>
      <c r="DI1">
        <f t="shared" ref="DI1:DI32" si="3">ROUND(ROUND(AH1,2)*CX1,2)</f>
        <v>0</v>
      </c>
      <c r="DJ1">
        <f>DG1</f>
        <v>4529473.51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5">
      <c r="A2">
        <f>ROW(Source!A33)</f>
        <v>33</v>
      </c>
      <c r="B2">
        <v>80890340</v>
      </c>
      <c r="C2">
        <v>80890528</v>
      </c>
      <c r="D2">
        <v>80199986</v>
      </c>
      <c r="E2">
        <v>15514512</v>
      </c>
      <c r="F2">
        <v>1</v>
      </c>
      <c r="G2">
        <v>15514512</v>
      </c>
      <c r="H2">
        <v>1</v>
      </c>
      <c r="I2" t="s">
        <v>267</v>
      </c>
      <c r="J2" t="s">
        <v>3</v>
      </c>
      <c r="K2" t="s">
        <v>268</v>
      </c>
      <c r="L2">
        <v>1191</v>
      </c>
      <c r="N2">
        <v>1013</v>
      </c>
      <c r="O2" t="s">
        <v>269</v>
      </c>
      <c r="P2" t="s">
        <v>269</v>
      </c>
      <c r="Q2">
        <v>1</v>
      </c>
      <c r="W2">
        <v>0</v>
      </c>
      <c r="X2">
        <v>476480486</v>
      </c>
      <c r="Y2">
        <f>(AT2*55)</f>
        <v>35.75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0.65</v>
      </c>
      <c r="AU2" t="s">
        <v>22</v>
      </c>
      <c r="AV2">
        <v>1</v>
      </c>
      <c r="AW2">
        <v>2</v>
      </c>
      <c r="AX2">
        <v>80890721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U2">
        <f>ROUND(AT2*Source!I33*AH2*AL2,2)</f>
        <v>0</v>
      </c>
      <c r="CV2">
        <f>ROUND(Y2*Source!I33,9)</f>
        <v>5850.9165000000003</v>
      </c>
      <c r="CW2">
        <v>0</v>
      </c>
      <c r="CX2">
        <f>ROUND(Y2*Source!I33,9)</f>
        <v>5850.9165000000003</v>
      </c>
      <c r="CY2">
        <f>AD2</f>
        <v>0</v>
      </c>
      <c r="CZ2">
        <f>AH2</f>
        <v>0</v>
      </c>
      <c r="DA2">
        <f>AL2</f>
        <v>1</v>
      </c>
      <c r="DB2">
        <f>ROUND((ROUND(AT2*CZ2,2)*55),6)</f>
        <v>0</v>
      </c>
      <c r="DC2">
        <f>ROUND((ROUND(AT2*AG2,2)*55),6)</f>
        <v>0</v>
      </c>
      <c r="DD2" t="s">
        <v>3</v>
      </c>
      <c r="DE2" t="s">
        <v>3</v>
      </c>
      <c r="DF2">
        <f t="shared" si="0"/>
        <v>0</v>
      </c>
      <c r="DG2">
        <f t="shared" si="1"/>
        <v>0</v>
      </c>
      <c r="DH2">
        <f t="shared" si="2"/>
        <v>0</v>
      </c>
      <c r="DI2">
        <f t="shared" si="3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5">
      <c r="A3">
        <f>ROW(Source!A34)</f>
        <v>34</v>
      </c>
      <c r="B3">
        <v>80890340</v>
      </c>
      <c r="C3">
        <v>80890529</v>
      </c>
      <c r="D3">
        <v>80213221</v>
      </c>
      <c r="E3">
        <v>1</v>
      </c>
      <c r="F3">
        <v>1</v>
      </c>
      <c r="G3">
        <v>15514512</v>
      </c>
      <c r="H3">
        <v>2</v>
      </c>
      <c r="I3" t="s">
        <v>270</v>
      </c>
      <c r="J3" t="s">
        <v>271</v>
      </c>
      <c r="K3" t="s">
        <v>272</v>
      </c>
      <c r="L3">
        <v>1368</v>
      </c>
      <c r="N3">
        <v>1011</v>
      </c>
      <c r="O3" t="s">
        <v>266</v>
      </c>
      <c r="P3" t="s">
        <v>266</v>
      </c>
      <c r="Q3">
        <v>1</v>
      </c>
      <c r="W3">
        <v>0</v>
      </c>
      <c r="X3">
        <v>-566548736</v>
      </c>
      <c r="Y3">
        <f>(AT3*111)</f>
        <v>28.86</v>
      </c>
      <c r="AA3">
        <v>0</v>
      </c>
      <c r="AB3">
        <v>1783.28</v>
      </c>
      <c r="AC3">
        <v>842.87</v>
      </c>
      <c r="AD3">
        <v>0</v>
      </c>
      <c r="AE3">
        <v>0</v>
      </c>
      <c r="AF3">
        <v>1783.28</v>
      </c>
      <c r="AG3">
        <v>842.87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0.26</v>
      </c>
      <c r="AU3" t="s">
        <v>35</v>
      </c>
      <c r="AV3">
        <v>0</v>
      </c>
      <c r="AW3">
        <v>2</v>
      </c>
      <c r="AX3">
        <v>80890722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ROUND(Y3*Source!I34*DO3,9)</f>
        <v>0</v>
      </c>
      <c r="CX3">
        <f>ROUND(Y3*Source!I34,9)</f>
        <v>1889.314128</v>
      </c>
      <c r="CY3">
        <f>AB3</f>
        <v>1783.28</v>
      </c>
      <c r="CZ3">
        <f>AF3</f>
        <v>1783.28</v>
      </c>
      <c r="DA3">
        <f>AJ3</f>
        <v>1</v>
      </c>
      <c r="DB3">
        <f>ROUND((ROUND(AT3*CZ3,2)*111),6)</f>
        <v>51465.15</v>
      </c>
      <c r="DC3">
        <f>ROUND((ROUND(AT3*AG3,2)*111),6)</f>
        <v>24325.65</v>
      </c>
      <c r="DD3" t="s">
        <v>3</v>
      </c>
      <c r="DE3" t="s">
        <v>3</v>
      </c>
      <c r="DF3">
        <f t="shared" si="0"/>
        <v>0</v>
      </c>
      <c r="DG3">
        <f t="shared" si="1"/>
        <v>3369176.1</v>
      </c>
      <c r="DH3">
        <f t="shared" si="2"/>
        <v>1592446.2</v>
      </c>
      <c r="DI3">
        <f t="shared" si="3"/>
        <v>0</v>
      </c>
      <c r="DJ3">
        <f>DG3</f>
        <v>3369176.1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5">
      <c r="A4">
        <f>ROW(Source!A34)</f>
        <v>34</v>
      </c>
      <c r="B4">
        <v>80890340</v>
      </c>
      <c r="C4">
        <v>80890529</v>
      </c>
      <c r="D4">
        <v>80215470</v>
      </c>
      <c r="E4">
        <v>1</v>
      </c>
      <c r="F4">
        <v>1</v>
      </c>
      <c r="G4">
        <v>15514512</v>
      </c>
      <c r="H4">
        <v>3</v>
      </c>
      <c r="I4" t="s">
        <v>37</v>
      </c>
      <c r="J4" t="s">
        <v>40</v>
      </c>
      <c r="K4" t="s">
        <v>38</v>
      </c>
      <c r="L4">
        <v>1339</v>
      </c>
      <c r="N4">
        <v>1007</v>
      </c>
      <c r="O4" t="s">
        <v>39</v>
      </c>
      <c r="P4" t="s">
        <v>39</v>
      </c>
      <c r="Q4">
        <v>1</v>
      </c>
      <c r="W4">
        <v>1</v>
      </c>
      <c r="X4">
        <v>2112060389</v>
      </c>
      <c r="Y4">
        <f>(AT4*111)</f>
        <v>-22.200000000000003</v>
      </c>
      <c r="AA4">
        <v>54.81</v>
      </c>
      <c r="AB4">
        <v>0</v>
      </c>
      <c r="AC4">
        <v>0</v>
      </c>
      <c r="AD4">
        <v>0</v>
      </c>
      <c r="AE4">
        <v>54.81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-0.2</v>
      </c>
      <c r="AU4" t="s">
        <v>35</v>
      </c>
      <c r="AV4">
        <v>0</v>
      </c>
      <c r="AW4">
        <v>2</v>
      </c>
      <c r="AX4">
        <v>80890723</v>
      </c>
      <c r="AY4">
        <v>1</v>
      </c>
      <c r="AZ4">
        <v>6144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v>0</v>
      </c>
      <c r="CX4">
        <f>ROUND(Y4*Source!I34,9)</f>
        <v>-1453.3185599999999</v>
      </c>
      <c r="CY4">
        <f>AA4</f>
        <v>54.81</v>
      </c>
      <c r="CZ4">
        <f>AE4</f>
        <v>54.81</v>
      </c>
      <c r="DA4">
        <f>AI4</f>
        <v>1</v>
      </c>
      <c r="DB4">
        <f>ROUND((ROUND(AT4*CZ4,2)*111),6)</f>
        <v>-1216.56</v>
      </c>
      <c r="DC4">
        <f>ROUND((ROUND(AT4*AG4,2)*111),6)</f>
        <v>0</v>
      </c>
      <c r="DD4" t="s">
        <v>3</v>
      </c>
      <c r="DE4" t="s">
        <v>3</v>
      </c>
      <c r="DF4">
        <f t="shared" si="0"/>
        <v>-79656.39</v>
      </c>
      <c r="DG4">
        <f t="shared" si="1"/>
        <v>0</v>
      </c>
      <c r="DH4">
        <f t="shared" si="2"/>
        <v>0</v>
      </c>
      <c r="DI4">
        <f t="shared" si="3"/>
        <v>0</v>
      </c>
      <c r="DJ4">
        <f>DF4</f>
        <v>-79656.39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5">
      <c r="A5">
        <f>ROW(Source!A36)</f>
        <v>36</v>
      </c>
      <c r="B5">
        <v>80890340</v>
      </c>
      <c r="C5">
        <v>80890530</v>
      </c>
      <c r="D5">
        <v>80199986</v>
      </c>
      <c r="E5">
        <v>15514512</v>
      </c>
      <c r="F5">
        <v>1</v>
      </c>
      <c r="G5">
        <v>15514512</v>
      </c>
      <c r="H5">
        <v>1</v>
      </c>
      <c r="I5" t="s">
        <v>267</v>
      </c>
      <c r="J5" t="s">
        <v>3</v>
      </c>
      <c r="K5" t="s">
        <v>268</v>
      </c>
      <c r="L5">
        <v>1191</v>
      </c>
      <c r="N5">
        <v>1013</v>
      </c>
      <c r="O5" t="s">
        <v>269</v>
      </c>
      <c r="P5" t="s">
        <v>269</v>
      </c>
      <c r="Q5">
        <v>1</v>
      </c>
      <c r="W5">
        <v>0</v>
      </c>
      <c r="X5">
        <v>476480486</v>
      </c>
      <c r="Y5">
        <f>(AT5*111)</f>
        <v>15.540000000000001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0.14000000000000001</v>
      </c>
      <c r="AU5" t="s">
        <v>35</v>
      </c>
      <c r="AV5">
        <v>1</v>
      </c>
      <c r="AW5">
        <v>2</v>
      </c>
      <c r="AX5">
        <v>80890725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ROUND(AT5*Source!I36*AH5*AL5,2)</f>
        <v>0</v>
      </c>
      <c r="CV5">
        <f>ROUND(Y5*Source!I36,9)</f>
        <v>2543.3074799999999</v>
      </c>
      <c r="CW5">
        <v>0</v>
      </c>
      <c r="CX5">
        <f>ROUND(Y5*Source!I36,9)</f>
        <v>2543.3074799999999</v>
      </c>
      <c r="CY5">
        <f>AD5</f>
        <v>0</v>
      </c>
      <c r="CZ5">
        <f>AH5</f>
        <v>0</v>
      </c>
      <c r="DA5">
        <f>AL5</f>
        <v>1</v>
      </c>
      <c r="DB5">
        <f>ROUND((ROUND(AT5*CZ5,2)*111),6)</f>
        <v>0</v>
      </c>
      <c r="DC5">
        <f>ROUND((ROUND(AT5*AG5,2)*111),6)</f>
        <v>0</v>
      </c>
      <c r="DD5" t="s">
        <v>3</v>
      </c>
      <c r="DE5" t="s">
        <v>3</v>
      </c>
      <c r="DF5">
        <f t="shared" si="0"/>
        <v>0</v>
      </c>
      <c r="DG5">
        <f t="shared" si="1"/>
        <v>0</v>
      </c>
      <c r="DH5">
        <f t="shared" si="2"/>
        <v>0</v>
      </c>
      <c r="DI5">
        <f t="shared" si="3"/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5">
      <c r="A6">
        <f>ROW(Source!A37)</f>
        <v>37</v>
      </c>
      <c r="B6">
        <v>80890340</v>
      </c>
      <c r="C6">
        <v>80890531</v>
      </c>
      <c r="D6">
        <v>80199986</v>
      </c>
      <c r="E6">
        <v>15514512</v>
      </c>
      <c r="F6">
        <v>1</v>
      </c>
      <c r="G6">
        <v>15514512</v>
      </c>
      <c r="H6">
        <v>1</v>
      </c>
      <c r="I6" t="s">
        <v>267</v>
      </c>
      <c r="J6" t="s">
        <v>3</v>
      </c>
      <c r="K6" t="s">
        <v>268</v>
      </c>
      <c r="L6">
        <v>1191</v>
      </c>
      <c r="N6">
        <v>1013</v>
      </c>
      <c r="O6" t="s">
        <v>269</v>
      </c>
      <c r="P6" t="s">
        <v>269</v>
      </c>
      <c r="Q6">
        <v>1</v>
      </c>
      <c r="W6">
        <v>0</v>
      </c>
      <c r="X6">
        <v>476480486</v>
      </c>
      <c r="Y6">
        <f>(AT6*55)</f>
        <v>13.2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0.24</v>
      </c>
      <c r="AU6" t="s">
        <v>22</v>
      </c>
      <c r="AV6">
        <v>1</v>
      </c>
      <c r="AW6">
        <v>2</v>
      </c>
      <c r="AX6">
        <v>80890726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U6">
        <f>ROUND(AT6*Source!I37*AH6*AL6,2)</f>
        <v>0</v>
      </c>
      <c r="CV6">
        <f>ROUND(Y6*Source!I37,9)</f>
        <v>12.480600000000001</v>
      </c>
      <c r="CW6">
        <v>0</v>
      </c>
      <c r="CX6">
        <f>ROUND(Y6*Source!I37,9)</f>
        <v>12.480600000000001</v>
      </c>
      <c r="CY6">
        <f>AD6</f>
        <v>0</v>
      </c>
      <c r="CZ6">
        <f>AH6</f>
        <v>0</v>
      </c>
      <c r="DA6">
        <f>AL6</f>
        <v>1</v>
      </c>
      <c r="DB6">
        <f>ROUND((ROUND(AT6*CZ6,2)*55),6)</f>
        <v>0</v>
      </c>
      <c r="DC6">
        <f>ROUND((ROUND(AT6*AG6,2)*55),6)</f>
        <v>0</v>
      </c>
      <c r="DD6" t="s">
        <v>3</v>
      </c>
      <c r="DE6" t="s">
        <v>3</v>
      </c>
      <c r="DF6">
        <f t="shared" si="0"/>
        <v>0</v>
      </c>
      <c r="DG6">
        <f t="shared" si="1"/>
        <v>0</v>
      </c>
      <c r="DH6">
        <f t="shared" si="2"/>
        <v>0</v>
      </c>
      <c r="DI6">
        <f t="shared" si="3"/>
        <v>0</v>
      </c>
      <c r="DJ6">
        <f>DI6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5">
      <c r="A7">
        <f>ROW(Source!A38)</f>
        <v>38</v>
      </c>
      <c r="B7">
        <v>80890340</v>
      </c>
      <c r="C7">
        <v>80890532</v>
      </c>
      <c r="D7">
        <v>80199986</v>
      </c>
      <c r="E7">
        <v>15514512</v>
      </c>
      <c r="F7">
        <v>1</v>
      </c>
      <c r="G7">
        <v>15514512</v>
      </c>
      <c r="H7">
        <v>1</v>
      </c>
      <c r="I7" t="s">
        <v>267</v>
      </c>
      <c r="J7" t="s">
        <v>3</v>
      </c>
      <c r="K7" t="s">
        <v>268</v>
      </c>
      <c r="L7">
        <v>1191</v>
      </c>
      <c r="N7">
        <v>1013</v>
      </c>
      <c r="O7" t="s">
        <v>269</v>
      </c>
      <c r="P7" t="s">
        <v>269</v>
      </c>
      <c r="Q7">
        <v>1</v>
      </c>
      <c r="W7">
        <v>0</v>
      </c>
      <c r="X7">
        <v>476480486</v>
      </c>
      <c r="Y7">
        <f>(AT7*55)</f>
        <v>56.65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1.03</v>
      </c>
      <c r="AU7" t="s">
        <v>22</v>
      </c>
      <c r="AV7">
        <v>1</v>
      </c>
      <c r="AW7">
        <v>2</v>
      </c>
      <c r="AX7">
        <v>80890727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ROUND(AT7*Source!I38*AH7*AL7,2)</f>
        <v>0</v>
      </c>
      <c r="CV7">
        <f>ROUND(Y7*Source!I38,9)</f>
        <v>405.61399999999998</v>
      </c>
      <c r="CW7">
        <v>0</v>
      </c>
      <c r="CX7">
        <f>ROUND(Y7*Source!I38,9)</f>
        <v>405.61399999999998</v>
      </c>
      <c r="CY7">
        <f>AD7</f>
        <v>0</v>
      </c>
      <c r="CZ7">
        <f>AH7</f>
        <v>0</v>
      </c>
      <c r="DA7">
        <f>AL7</f>
        <v>1</v>
      </c>
      <c r="DB7">
        <f>ROUND((ROUND(AT7*CZ7,2)*55),6)</f>
        <v>0</v>
      </c>
      <c r="DC7">
        <f>ROUND((ROUND(AT7*AG7,2)*55),6)</f>
        <v>0</v>
      </c>
      <c r="DD7" t="s">
        <v>3</v>
      </c>
      <c r="DE7" t="s">
        <v>3</v>
      </c>
      <c r="DF7">
        <f t="shared" si="0"/>
        <v>0</v>
      </c>
      <c r="DG7">
        <f t="shared" si="1"/>
        <v>0</v>
      </c>
      <c r="DH7">
        <f t="shared" si="2"/>
        <v>0</v>
      </c>
      <c r="DI7">
        <f t="shared" si="3"/>
        <v>0</v>
      </c>
      <c r="DJ7">
        <f>DI7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5">
      <c r="A8">
        <f>ROW(Source!A39)</f>
        <v>39</v>
      </c>
      <c r="B8">
        <v>80890340</v>
      </c>
      <c r="C8">
        <v>80890534</v>
      </c>
      <c r="D8">
        <v>80199986</v>
      </c>
      <c r="E8">
        <v>15514512</v>
      </c>
      <c r="F8">
        <v>1</v>
      </c>
      <c r="G8">
        <v>15514512</v>
      </c>
      <c r="H8">
        <v>1</v>
      </c>
      <c r="I8" t="s">
        <v>267</v>
      </c>
      <c r="J8" t="s">
        <v>3</v>
      </c>
      <c r="K8" t="s">
        <v>268</v>
      </c>
      <c r="L8">
        <v>1191</v>
      </c>
      <c r="N8">
        <v>1013</v>
      </c>
      <c r="O8" t="s">
        <v>269</v>
      </c>
      <c r="P8" t="s">
        <v>269</v>
      </c>
      <c r="Q8">
        <v>1</v>
      </c>
      <c r="W8">
        <v>0</v>
      </c>
      <c r="X8">
        <v>476480486</v>
      </c>
      <c r="Y8">
        <f>(AT8*30)</f>
        <v>9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0.3</v>
      </c>
      <c r="AU8" t="s">
        <v>57</v>
      </c>
      <c r="AV8">
        <v>1</v>
      </c>
      <c r="AW8">
        <v>2</v>
      </c>
      <c r="AX8">
        <v>80890728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U8">
        <f>ROUND(AT8*Source!I39*AH8*AL8,2)</f>
        <v>0</v>
      </c>
      <c r="CV8">
        <f>ROUND(Y8*Source!I39,9)</f>
        <v>1472.9580000000001</v>
      </c>
      <c r="CW8">
        <v>0</v>
      </c>
      <c r="CX8">
        <f>ROUND(Y8*Source!I39,9)</f>
        <v>1472.9580000000001</v>
      </c>
      <c r="CY8">
        <f>AD8</f>
        <v>0</v>
      </c>
      <c r="CZ8">
        <f>AH8</f>
        <v>0</v>
      </c>
      <c r="DA8">
        <f>AL8</f>
        <v>1</v>
      </c>
      <c r="DB8">
        <f>ROUND((ROUND(AT8*CZ8,2)*30),6)</f>
        <v>0</v>
      </c>
      <c r="DC8">
        <f>ROUND((ROUND(AT8*AG8,2)*30),6)</f>
        <v>0</v>
      </c>
      <c r="DD8" t="s">
        <v>3</v>
      </c>
      <c r="DE8" t="s">
        <v>3</v>
      </c>
      <c r="DF8">
        <f t="shared" si="0"/>
        <v>0</v>
      </c>
      <c r="DG8">
        <f t="shared" si="1"/>
        <v>0</v>
      </c>
      <c r="DH8">
        <f t="shared" si="2"/>
        <v>0</v>
      </c>
      <c r="DI8">
        <f t="shared" si="3"/>
        <v>0</v>
      </c>
      <c r="DJ8">
        <f>DI8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5">
      <c r="A9">
        <f>ROW(Source!A39)</f>
        <v>39</v>
      </c>
      <c r="B9">
        <v>80890340</v>
      </c>
      <c r="C9">
        <v>80890534</v>
      </c>
      <c r="D9">
        <v>80216195</v>
      </c>
      <c r="E9">
        <v>1</v>
      </c>
      <c r="F9">
        <v>1</v>
      </c>
      <c r="G9">
        <v>15514512</v>
      </c>
      <c r="H9">
        <v>3</v>
      </c>
      <c r="I9" t="s">
        <v>273</v>
      </c>
      <c r="J9" t="s">
        <v>274</v>
      </c>
      <c r="K9" t="s">
        <v>275</v>
      </c>
      <c r="L9">
        <v>1346</v>
      </c>
      <c r="N9">
        <v>1009</v>
      </c>
      <c r="O9" t="s">
        <v>220</v>
      </c>
      <c r="P9" t="s">
        <v>220</v>
      </c>
      <c r="Q9">
        <v>1</v>
      </c>
      <c r="W9">
        <v>0</v>
      </c>
      <c r="X9">
        <v>-584861322</v>
      </c>
      <c r="Y9">
        <f>(AT9*30)</f>
        <v>150</v>
      </c>
      <c r="AA9">
        <v>27.3</v>
      </c>
      <c r="AB9">
        <v>0</v>
      </c>
      <c r="AC9">
        <v>0</v>
      </c>
      <c r="AD9">
        <v>0</v>
      </c>
      <c r="AE9">
        <v>27.3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5</v>
      </c>
      <c r="AU9" t="s">
        <v>57</v>
      </c>
      <c r="AV9">
        <v>0</v>
      </c>
      <c r="AW9">
        <v>2</v>
      </c>
      <c r="AX9">
        <v>80890729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ROUND(Y9*Source!I39,9)</f>
        <v>24549.3</v>
      </c>
      <c r="CY9">
        <f>AA9</f>
        <v>27.3</v>
      </c>
      <c r="CZ9">
        <f>AE9</f>
        <v>27.3</v>
      </c>
      <c r="DA9">
        <f>AI9</f>
        <v>1</v>
      </c>
      <c r="DB9">
        <f>ROUND((ROUND(AT9*CZ9,2)*30),6)</f>
        <v>4095</v>
      </c>
      <c r="DC9">
        <f>ROUND((ROUND(AT9*AG9,2)*30),6)</f>
        <v>0</v>
      </c>
      <c r="DD9" t="s">
        <v>3</v>
      </c>
      <c r="DE9" t="s">
        <v>3</v>
      </c>
      <c r="DF9">
        <f t="shared" si="0"/>
        <v>670195.89</v>
      </c>
      <c r="DG9">
        <f t="shared" si="1"/>
        <v>0</v>
      </c>
      <c r="DH9">
        <f t="shared" si="2"/>
        <v>0</v>
      </c>
      <c r="DI9">
        <f t="shared" si="3"/>
        <v>0</v>
      </c>
      <c r="DJ9">
        <f>DF9</f>
        <v>670195.89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5">
      <c r="A10">
        <f>ROW(Source!A40)</f>
        <v>40</v>
      </c>
      <c r="B10">
        <v>80890340</v>
      </c>
      <c r="C10">
        <v>80890535</v>
      </c>
      <c r="D10">
        <v>80199986</v>
      </c>
      <c r="E10">
        <v>15514512</v>
      </c>
      <c r="F10">
        <v>1</v>
      </c>
      <c r="G10">
        <v>15514512</v>
      </c>
      <c r="H10">
        <v>1</v>
      </c>
      <c r="I10" t="s">
        <v>267</v>
      </c>
      <c r="J10" t="s">
        <v>3</v>
      </c>
      <c r="K10" t="s">
        <v>268</v>
      </c>
      <c r="L10">
        <v>1191</v>
      </c>
      <c r="N10">
        <v>1013</v>
      </c>
      <c r="O10" t="s">
        <v>269</v>
      </c>
      <c r="P10" t="s">
        <v>269</v>
      </c>
      <c r="Q10">
        <v>1</v>
      </c>
      <c r="W10">
        <v>0</v>
      </c>
      <c r="X10">
        <v>476480486</v>
      </c>
      <c r="Y10">
        <f>(AT10*30)</f>
        <v>0.6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0.02</v>
      </c>
      <c r="AU10" t="s">
        <v>57</v>
      </c>
      <c r="AV10">
        <v>1</v>
      </c>
      <c r="AW10">
        <v>2</v>
      </c>
      <c r="AX10">
        <v>80890730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U10">
        <f>ROUND(AT10*Source!I40*AH10*AL10,2)</f>
        <v>0</v>
      </c>
      <c r="CV10">
        <f>ROUND(Y10*Source!I40,9)</f>
        <v>39.278880000000001</v>
      </c>
      <c r="CW10">
        <v>0</v>
      </c>
      <c r="CX10">
        <f>ROUND(Y10*Source!I40,9)</f>
        <v>39.278880000000001</v>
      </c>
      <c r="CY10">
        <f>AD10</f>
        <v>0</v>
      </c>
      <c r="CZ10">
        <f>AH10</f>
        <v>0</v>
      </c>
      <c r="DA10">
        <f>AL10</f>
        <v>1</v>
      </c>
      <c r="DB10">
        <f>ROUND((ROUND(AT10*CZ10,2)*30),6)</f>
        <v>0</v>
      </c>
      <c r="DC10">
        <f>ROUND((ROUND(AT10*AG10,2)*30),6)</f>
        <v>0</v>
      </c>
      <c r="DD10" t="s">
        <v>3</v>
      </c>
      <c r="DE10" t="s">
        <v>3</v>
      </c>
      <c r="DF10">
        <f t="shared" si="0"/>
        <v>0</v>
      </c>
      <c r="DG10">
        <f t="shared" si="1"/>
        <v>0</v>
      </c>
      <c r="DH10">
        <f t="shared" si="2"/>
        <v>0</v>
      </c>
      <c r="DI10">
        <f t="shared" si="3"/>
        <v>0</v>
      </c>
      <c r="DJ10">
        <f>DI10</f>
        <v>0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5">
      <c r="A11">
        <f>ROW(Source!A40)</f>
        <v>40</v>
      </c>
      <c r="B11">
        <v>80890340</v>
      </c>
      <c r="C11">
        <v>80890535</v>
      </c>
      <c r="D11">
        <v>80213219</v>
      </c>
      <c r="E11">
        <v>1</v>
      </c>
      <c r="F11">
        <v>1</v>
      </c>
      <c r="G11">
        <v>15514512</v>
      </c>
      <c r="H11">
        <v>2</v>
      </c>
      <c r="I11" t="s">
        <v>276</v>
      </c>
      <c r="J11" t="s">
        <v>277</v>
      </c>
      <c r="K11" t="s">
        <v>278</v>
      </c>
      <c r="L11">
        <v>1368</v>
      </c>
      <c r="N11">
        <v>1011</v>
      </c>
      <c r="O11" t="s">
        <v>266</v>
      </c>
      <c r="P11" t="s">
        <v>266</v>
      </c>
      <c r="Q11">
        <v>1</v>
      </c>
      <c r="W11">
        <v>0</v>
      </c>
      <c r="X11">
        <v>26148632</v>
      </c>
      <c r="Y11">
        <f>(AT11*30)</f>
        <v>2.4</v>
      </c>
      <c r="AA11">
        <v>0</v>
      </c>
      <c r="AB11">
        <v>1988.28</v>
      </c>
      <c r="AC11">
        <v>838.86</v>
      </c>
      <c r="AD11">
        <v>0</v>
      </c>
      <c r="AE11">
        <v>0</v>
      </c>
      <c r="AF11">
        <v>1988.28</v>
      </c>
      <c r="AG11">
        <v>838.86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0.08</v>
      </c>
      <c r="AU11" t="s">
        <v>57</v>
      </c>
      <c r="AV11">
        <v>0</v>
      </c>
      <c r="AW11">
        <v>2</v>
      </c>
      <c r="AX11">
        <v>80890731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f>ROUND(Y11*Source!I40*DO11,9)</f>
        <v>0</v>
      </c>
      <c r="CX11">
        <f>ROUND(Y11*Source!I40,9)</f>
        <v>157.11552</v>
      </c>
      <c r="CY11">
        <f>AB11</f>
        <v>1988.28</v>
      </c>
      <c r="CZ11">
        <f>AF11</f>
        <v>1988.28</v>
      </c>
      <c r="DA11">
        <f>AJ11</f>
        <v>1</v>
      </c>
      <c r="DB11">
        <f>ROUND((ROUND(AT11*CZ11,2)*30),6)</f>
        <v>4771.8</v>
      </c>
      <c r="DC11">
        <f>ROUND((ROUND(AT11*AG11,2)*30),6)</f>
        <v>2013.3</v>
      </c>
      <c r="DD11" t="s">
        <v>3</v>
      </c>
      <c r="DE11" t="s">
        <v>3</v>
      </c>
      <c r="DF11">
        <f t="shared" si="0"/>
        <v>0</v>
      </c>
      <c r="DG11">
        <f t="shared" si="1"/>
        <v>312389.65000000002</v>
      </c>
      <c r="DH11">
        <f t="shared" si="2"/>
        <v>131797.93</v>
      </c>
      <c r="DI11">
        <f t="shared" si="3"/>
        <v>0</v>
      </c>
      <c r="DJ11">
        <f>DG11</f>
        <v>312389.65000000002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5">
      <c r="A12">
        <f>ROW(Source!A40)</f>
        <v>40</v>
      </c>
      <c r="B12">
        <v>80890340</v>
      </c>
      <c r="C12">
        <v>80890535</v>
      </c>
      <c r="D12">
        <v>80216195</v>
      </c>
      <c r="E12">
        <v>1</v>
      </c>
      <c r="F12">
        <v>1</v>
      </c>
      <c r="G12">
        <v>15514512</v>
      </c>
      <c r="H12">
        <v>3</v>
      </c>
      <c r="I12" t="s">
        <v>273</v>
      </c>
      <c r="J12" t="s">
        <v>274</v>
      </c>
      <c r="K12" t="s">
        <v>275</v>
      </c>
      <c r="L12">
        <v>1346</v>
      </c>
      <c r="N12">
        <v>1009</v>
      </c>
      <c r="O12" t="s">
        <v>220</v>
      </c>
      <c r="P12" t="s">
        <v>220</v>
      </c>
      <c r="Q12">
        <v>1</v>
      </c>
      <c r="W12">
        <v>0</v>
      </c>
      <c r="X12">
        <v>-584861322</v>
      </c>
      <c r="Y12">
        <f>(AT12*30)</f>
        <v>1500</v>
      </c>
      <c r="AA12">
        <v>27.3</v>
      </c>
      <c r="AB12">
        <v>0</v>
      </c>
      <c r="AC12">
        <v>0</v>
      </c>
      <c r="AD12">
        <v>0</v>
      </c>
      <c r="AE12">
        <v>27.3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50</v>
      </c>
      <c r="AU12" t="s">
        <v>57</v>
      </c>
      <c r="AV12">
        <v>0</v>
      </c>
      <c r="AW12">
        <v>2</v>
      </c>
      <c r="AX12">
        <v>80890732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ROUND(Y12*Source!I40,9)</f>
        <v>98197.2</v>
      </c>
      <c r="CY12">
        <f>AA12</f>
        <v>27.3</v>
      </c>
      <c r="CZ12">
        <f>AE12</f>
        <v>27.3</v>
      </c>
      <c r="DA12">
        <f>AI12</f>
        <v>1</v>
      </c>
      <c r="DB12">
        <f>ROUND((ROUND(AT12*CZ12,2)*30),6)</f>
        <v>40950</v>
      </c>
      <c r="DC12">
        <f>ROUND((ROUND(AT12*AG12,2)*30),6)</f>
        <v>0</v>
      </c>
      <c r="DD12" t="s">
        <v>3</v>
      </c>
      <c r="DE12" t="s">
        <v>3</v>
      </c>
      <c r="DF12">
        <f t="shared" si="0"/>
        <v>2680783.56</v>
      </c>
      <c r="DG12">
        <f t="shared" si="1"/>
        <v>0</v>
      </c>
      <c r="DH12">
        <f t="shared" si="2"/>
        <v>0</v>
      </c>
      <c r="DI12">
        <f t="shared" si="3"/>
        <v>0</v>
      </c>
      <c r="DJ12">
        <f>DF12</f>
        <v>2680783.56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5">
      <c r="A13">
        <f>ROW(Source!A41)</f>
        <v>41</v>
      </c>
      <c r="B13">
        <v>80890340</v>
      </c>
      <c r="C13">
        <v>80890536</v>
      </c>
      <c r="D13">
        <v>80199986</v>
      </c>
      <c r="E13">
        <v>15514512</v>
      </c>
      <c r="F13">
        <v>1</v>
      </c>
      <c r="G13">
        <v>15514512</v>
      </c>
      <c r="H13">
        <v>1</v>
      </c>
      <c r="I13" t="s">
        <v>267</v>
      </c>
      <c r="J13" t="s">
        <v>3</v>
      </c>
      <c r="K13" t="s">
        <v>268</v>
      </c>
      <c r="L13">
        <v>1191</v>
      </c>
      <c r="N13">
        <v>1013</v>
      </c>
      <c r="O13" t="s">
        <v>269</v>
      </c>
      <c r="P13" t="s">
        <v>269</v>
      </c>
      <c r="Q13">
        <v>1</v>
      </c>
      <c r="W13">
        <v>0</v>
      </c>
      <c r="X13">
        <v>476480486</v>
      </c>
      <c r="Y13">
        <f>(AT13*20)</f>
        <v>48.2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2.41</v>
      </c>
      <c r="AU13" t="s">
        <v>66</v>
      </c>
      <c r="AV13">
        <v>1</v>
      </c>
      <c r="AW13">
        <v>2</v>
      </c>
      <c r="AX13">
        <v>80890733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U13">
        <f>ROUND(AT13*Source!I41*AH13*AL13,2)</f>
        <v>0</v>
      </c>
      <c r="CV13">
        <f>ROUND(Y13*Source!I41,9)</f>
        <v>394.42541999999997</v>
      </c>
      <c r="CW13">
        <v>0</v>
      </c>
      <c r="CX13">
        <f>ROUND(Y13*Source!I41,9)</f>
        <v>394.42541999999997</v>
      </c>
      <c r="CY13">
        <f>AD13</f>
        <v>0</v>
      </c>
      <c r="CZ13">
        <f>AH13</f>
        <v>0</v>
      </c>
      <c r="DA13">
        <f>AL13</f>
        <v>1</v>
      </c>
      <c r="DB13">
        <f>ROUND((ROUND(AT13*CZ13,2)*20),6)</f>
        <v>0</v>
      </c>
      <c r="DC13">
        <f>ROUND((ROUND(AT13*AG13,2)*20),6)</f>
        <v>0</v>
      </c>
      <c r="DD13" t="s">
        <v>3</v>
      </c>
      <c r="DE13" t="s">
        <v>3</v>
      </c>
      <c r="DF13">
        <f t="shared" si="0"/>
        <v>0</v>
      </c>
      <c r="DG13">
        <f t="shared" si="1"/>
        <v>0</v>
      </c>
      <c r="DH13">
        <f t="shared" si="2"/>
        <v>0</v>
      </c>
      <c r="DI13">
        <f t="shared" si="3"/>
        <v>0</v>
      </c>
      <c r="DJ13">
        <f>DI13</f>
        <v>0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5">
      <c r="A14">
        <f>ROW(Source!A42)</f>
        <v>42</v>
      </c>
      <c r="B14">
        <v>80890340</v>
      </c>
      <c r="C14">
        <v>80890537</v>
      </c>
      <c r="D14">
        <v>80199986</v>
      </c>
      <c r="E14">
        <v>15514512</v>
      </c>
      <c r="F14">
        <v>1</v>
      </c>
      <c r="G14">
        <v>15514512</v>
      </c>
      <c r="H14">
        <v>1</v>
      </c>
      <c r="I14" t="s">
        <v>267</v>
      </c>
      <c r="J14" t="s">
        <v>3</v>
      </c>
      <c r="K14" t="s">
        <v>268</v>
      </c>
      <c r="L14">
        <v>1191</v>
      </c>
      <c r="N14">
        <v>1013</v>
      </c>
      <c r="O14" t="s">
        <v>269</v>
      </c>
      <c r="P14" t="s">
        <v>269</v>
      </c>
      <c r="Q14">
        <v>1</v>
      </c>
      <c r="W14">
        <v>0</v>
      </c>
      <c r="X14">
        <v>476480486</v>
      </c>
      <c r="Y14">
        <f>AT14</f>
        <v>0.37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0.37</v>
      </c>
      <c r="AU14" t="s">
        <v>3</v>
      </c>
      <c r="AV14">
        <v>1</v>
      </c>
      <c r="AW14">
        <v>2</v>
      </c>
      <c r="AX14">
        <v>80890734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U14">
        <f>ROUND(AT14*Source!I42*AH14*AL14,2)</f>
        <v>0</v>
      </c>
      <c r="CV14">
        <f>ROUND(Y14*Source!I42,9)</f>
        <v>5449.9445999999998</v>
      </c>
      <c r="CW14">
        <v>0</v>
      </c>
      <c r="CX14">
        <f>ROUND(Y14*Source!I42,9)</f>
        <v>5449.9445999999998</v>
      </c>
      <c r="CY14">
        <f>AD14</f>
        <v>0</v>
      </c>
      <c r="CZ14">
        <f>AH14</f>
        <v>0</v>
      </c>
      <c r="DA14">
        <f>AL14</f>
        <v>1</v>
      </c>
      <c r="DB14">
        <f>ROUND(ROUND(AT14*CZ14,2),6)</f>
        <v>0</v>
      </c>
      <c r="DC14">
        <f>ROUND(ROUND(AT14*AG14,2),6)</f>
        <v>0</v>
      </c>
      <c r="DD14" t="s">
        <v>3</v>
      </c>
      <c r="DE14" t="s">
        <v>3</v>
      </c>
      <c r="DF14">
        <f t="shared" si="0"/>
        <v>0</v>
      </c>
      <c r="DG14">
        <f t="shared" si="1"/>
        <v>0</v>
      </c>
      <c r="DH14">
        <f t="shared" si="2"/>
        <v>0</v>
      </c>
      <c r="DI14">
        <f t="shared" si="3"/>
        <v>0</v>
      </c>
      <c r="DJ14">
        <f>DI14</f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5">
      <c r="A15">
        <f>ROW(Source!A42)</f>
        <v>42</v>
      </c>
      <c r="B15">
        <v>80890340</v>
      </c>
      <c r="C15">
        <v>80890537</v>
      </c>
      <c r="D15">
        <v>80212784</v>
      </c>
      <c r="E15">
        <v>1</v>
      </c>
      <c r="F15">
        <v>1</v>
      </c>
      <c r="G15">
        <v>15514512</v>
      </c>
      <c r="H15">
        <v>2</v>
      </c>
      <c r="I15" t="s">
        <v>279</v>
      </c>
      <c r="J15" t="s">
        <v>280</v>
      </c>
      <c r="K15" t="s">
        <v>281</v>
      </c>
      <c r="L15">
        <v>1368</v>
      </c>
      <c r="N15">
        <v>1011</v>
      </c>
      <c r="O15" t="s">
        <v>266</v>
      </c>
      <c r="P15" t="s">
        <v>266</v>
      </c>
      <c r="Q15">
        <v>1</v>
      </c>
      <c r="W15">
        <v>0</v>
      </c>
      <c r="X15">
        <v>-290374090</v>
      </c>
      <c r="Y15">
        <f>AT15</f>
        <v>0.34</v>
      </c>
      <c r="AA15">
        <v>0</v>
      </c>
      <c r="AB15">
        <v>2097.0700000000002</v>
      </c>
      <c r="AC15">
        <v>1028.7</v>
      </c>
      <c r="AD15">
        <v>0</v>
      </c>
      <c r="AE15">
        <v>0</v>
      </c>
      <c r="AF15">
        <v>2097.0700000000002</v>
      </c>
      <c r="AG15">
        <v>1028.7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0.34</v>
      </c>
      <c r="AU15" t="s">
        <v>3</v>
      </c>
      <c r="AV15">
        <v>0</v>
      </c>
      <c r="AW15">
        <v>2</v>
      </c>
      <c r="AX15">
        <v>80890735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f>ROUND(Y15*Source!I42*DO15,9)</f>
        <v>0</v>
      </c>
      <c r="CX15">
        <f>ROUND(Y15*Source!I42,9)</f>
        <v>5008.0572000000002</v>
      </c>
      <c r="CY15">
        <f>AB15</f>
        <v>2097.0700000000002</v>
      </c>
      <c r="CZ15">
        <f>AF15</f>
        <v>2097.0700000000002</v>
      </c>
      <c r="DA15">
        <f>AJ15</f>
        <v>1</v>
      </c>
      <c r="DB15">
        <f>ROUND(ROUND(AT15*CZ15,2),6)</f>
        <v>713</v>
      </c>
      <c r="DC15">
        <f>ROUND(ROUND(AT15*AG15,2),6)</f>
        <v>349.76</v>
      </c>
      <c r="DD15" t="s">
        <v>3</v>
      </c>
      <c r="DE15" t="s">
        <v>3</v>
      </c>
      <c r="DF15">
        <f t="shared" si="0"/>
        <v>0</v>
      </c>
      <c r="DG15">
        <f t="shared" si="1"/>
        <v>10502246.51</v>
      </c>
      <c r="DH15">
        <f t="shared" si="2"/>
        <v>5151788.4400000004</v>
      </c>
      <c r="DI15">
        <f t="shared" si="3"/>
        <v>0</v>
      </c>
      <c r="DJ15">
        <f>DG15</f>
        <v>10502246.51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5">
      <c r="A16">
        <f>ROW(Source!A43)</f>
        <v>43</v>
      </c>
      <c r="B16">
        <v>80890340</v>
      </c>
      <c r="C16">
        <v>80890538</v>
      </c>
      <c r="D16">
        <v>80212784</v>
      </c>
      <c r="E16">
        <v>1</v>
      </c>
      <c r="F16">
        <v>1</v>
      </c>
      <c r="G16">
        <v>15514512</v>
      </c>
      <c r="H16">
        <v>2</v>
      </c>
      <c r="I16" t="s">
        <v>279</v>
      </c>
      <c r="J16" t="s">
        <v>280</v>
      </c>
      <c r="K16" t="s">
        <v>281</v>
      </c>
      <c r="L16">
        <v>1368</v>
      </c>
      <c r="N16">
        <v>1011</v>
      </c>
      <c r="O16" t="s">
        <v>266</v>
      </c>
      <c r="P16" t="s">
        <v>266</v>
      </c>
      <c r="Q16">
        <v>1</v>
      </c>
      <c r="W16">
        <v>0</v>
      </c>
      <c r="X16">
        <v>-290374090</v>
      </c>
      <c r="Y16">
        <f>AT16</f>
        <v>0.09</v>
      </c>
      <c r="AA16">
        <v>0</v>
      </c>
      <c r="AB16">
        <v>2097.0700000000002</v>
      </c>
      <c r="AC16">
        <v>1028.7</v>
      </c>
      <c r="AD16">
        <v>0</v>
      </c>
      <c r="AE16">
        <v>0</v>
      </c>
      <c r="AF16">
        <v>2097.0700000000002</v>
      </c>
      <c r="AG16">
        <v>1028.7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0.09</v>
      </c>
      <c r="AU16" t="s">
        <v>3</v>
      </c>
      <c r="AV16">
        <v>0</v>
      </c>
      <c r="AW16">
        <v>2</v>
      </c>
      <c r="AX16">
        <v>80890736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f>ROUND(Y16*Source!I43*DO16,9)</f>
        <v>0</v>
      </c>
      <c r="CX16">
        <f>ROUND(Y16*Source!I43,9)</f>
        <v>1325.6622</v>
      </c>
      <c r="CY16">
        <f>AB16</f>
        <v>2097.0700000000002</v>
      </c>
      <c r="CZ16">
        <f>AF16</f>
        <v>2097.0700000000002</v>
      </c>
      <c r="DA16">
        <f>AJ16</f>
        <v>1</v>
      </c>
      <c r="DB16">
        <f>ROUND(ROUND(AT16*CZ16,2),6)</f>
        <v>188.74</v>
      </c>
      <c r="DC16">
        <f>ROUND(ROUND(AT16*AG16,2),6)</f>
        <v>92.58</v>
      </c>
      <c r="DD16" t="s">
        <v>3</v>
      </c>
      <c r="DE16" t="s">
        <v>3</v>
      </c>
      <c r="DF16">
        <f t="shared" si="0"/>
        <v>0</v>
      </c>
      <c r="DG16">
        <f t="shared" si="1"/>
        <v>2780006.43</v>
      </c>
      <c r="DH16">
        <f t="shared" si="2"/>
        <v>1363708.71</v>
      </c>
      <c r="DI16">
        <f t="shared" si="3"/>
        <v>0</v>
      </c>
      <c r="DJ16">
        <f>DG16</f>
        <v>2780006.43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5">
      <c r="A17">
        <f>ROW(Source!A44)</f>
        <v>44</v>
      </c>
      <c r="B17">
        <v>80890340</v>
      </c>
      <c r="C17">
        <v>80890539</v>
      </c>
      <c r="D17">
        <v>80199986</v>
      </c>
      <c r="E17">
        <v>15514512</v>
      </c>
      <c r="F17">
        <v>1</v>
      </c>
      <c r="G17">
        <v>15514512</v>
      </c>
      <c r="H17">
        <v>1</v>
      </c>
      <c r="I17" t="s">
        <v>267</v>
      </c>
      <c r="J17" t="s">
        <v>3</v>
      </c>
      <c r="K17" t="s">
        <v>268</v>
      </c>
      <c r="L17">
        <v>1191</v>
      </c>
      <c r="N17">
        <v>1013</v>
      </c>
      <c r="O17" t="s">
        <v>269</v>
      </c>
      <c r="P17" t="s">
        <v>269</v>
      </c>
      <c r="Q17">
        <v>1</v>
      </c>
      <c r="W17">
        <v>0</v>
      </c>
      <c r="X17">
        <v>476480486</v>
      </c>
      <c r="Y17">
        <f>(AT17*22)</f>
        <v>61.82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2.81</v>
      </c>
      <c r="AU17" t="s">
        <v>79</v>
      </c>
      <c r="AV17">
        <v>1</v>
      </c>
      <c r="AW17">
        <v>2</v>
      </c>
      <c r="AX17">
        <v>80890737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U17">
        <f>ROUND(AT17*Source!I44*AH17*AL17,2)</f>
        <v>0</v>
      </c>
      <c r="CV17">
        <f>ROUND(Y17*Source!I44,9)</f>
        <v>41.468856000000002</v>
      </c>
      <c r="CW17">
        <v>0</v>
      </c>
      <c r="CX17">
        <f>ROUND(Y17*Source!I44,9)</f>
        <v>41.468856000000002</v>
      </c>
      <c r="CY17">
        <f>AD17</f>
        <v>0</v>
      </c>
      <c r="CZ17">
        <f>AH17</f>
        <v>0</v>
      </c>
      <c r="DA17">
        <f>AL17</f>
        <v>1</v>
      </c>
      <c r="DB17">
        <f>ROUND((ROUND(AT17*CZ17,2)*22),6)</f>
        <v>0</v>
      </c>
      <c r="DC17">
        <f>ROUND((ROUND(AT17*AG17,2)*22),6)</f>
        <v>0</v>
      </c>
      <c r="DD17" t="s">
        <v>3</v>
      </c>
      <c r="DE17" t="s">
        <v>3</v>
      </c>
      <c r="DF17">
        <f t="shared" si="0"/>
        <v>0</v>
      </c>
      <c r="DG17">
        <f t="shared" si="1"/>
        <v>0</v>
      </c>
      <c r="DH17">
        <f t="shared" si="2"/>
        <v>0</v>
      </c>
      <c r="DI17">
        <f t="shared" si="3"/>
        <v>0</v>
      </c>
      <c r="DJ17">
        <f>DI17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5">
      <c r="A18">
        <f>ROW(Source!A45)</f>
        <v>45</v>
      </c>
      <c r="B18">
        <v>80890340</v>
      </c>
      <c r="C18">
        <v>80890540</v>
      </c>
      <c r="D18">
        <v>80199986</v>
      </c>
      <c r="E18">
        <v>15514512</v>
      </c>
      <c r="F18">
        <v>1</v>
      </c>
      <c r="G18">
        <v>15514512</v>
      </c>
      <c r="H18">
        <v>1</v>
      </c>
      <c r="I18" t="s">
        <v>267</v>
      </c>
      <c r="J18" t="s">
        <v>3</v>
      </c>
      <c r="K18" t="s">
        <v>268</v>
      </c>
      <c r="L18">
        <v>1191</v>
      </c>
      <c r="N18">
        <v>1013</v>
      </c>
      <c r="O18" t="s">
        <v>269</v>
      </c>
      <c r="P18" t="s">
        <v>269</v>
      </c>
      <c r="Q18">
        <v>1</v>
      </c>
      <c r="W18">
        <v>0</v>
      </c>
      <c r="X18">
        <v>476480486</v>
      </c>
      <c r="Y18">
        <f>(AT18*166)</f>
        <v>400.06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2.41</v>
      </c>
      <c r="AU18" t="s">
        <v>85</v>
      </c>
      <c r="AV18">
        <v>1</v>
      </c>
      <c r="AW18">
        <v>2</v>
      </c>
      <c r="AX18">
        <v>80890738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U18">
        <f>ROUND(AT18*Source!I45*AH18*AL18,2)</f>
        <v>0</v>
      </c>
      <c r="CV18">
        <f>ROUND(Y18*Source!I45,9)</f>
        <v>136.0204</v>
      </c>
      <c r="CW18">
        <v>0</v>
      </c>
      <c r="CX18">
        <f>ROUND(Y18*Source!I45,9)</f>
        <v>136.0204</v>
      </c>
      <c r="CY18">
        <f>AD18</f>
        <v>0</v>
      </c>
      <c r="CZ18">
        <f>AH18</f>
        <v>0</v>
      </c>
      <c r="DA18">
        <f>AL18</f>
        <v>1</v>
      </c>
      <c r="DB18">
        <f>ROUND((ROUND(AT18*CZ18,2)*166),6)</f>
        <v>0</v>
      </c>
      <c r="DC18">
        <f>ROUND((ROUND(AT18*AG18,2)*166),6)</f>
        <v>0</v>
      </c>
      <c r="DD18" t="s">
        <v>3</v>
      </c>
      <c r="DE18" t="s">
        <v>3</v>
      </c>
      <c r="DF18">
        <f t="shared" si="0"/>
        <v>0</v>
      </c>
      <c r="DG18">
        <f t="shared" si="1"/>
        <v>0</v>
      </c>
      <c r="DH18">
        <f t="shared" si="2"/>
        <v>0</v>
      </c>
      <c r="DI18">
        <f t="shared" si="3"/>
        <v>0</v>
      </c>
      <c r="DJ18">
        <f>DI18</f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5">
      <c r="A19">
        <f>ROW(Source!A45)</f>
        <v>45</v>
      </c>
      <c r="B19">
        <v>80890340</v>
      </c>
      <c r="C19">
        <v>80890540</v>
      </c>
      <c r="D19">
        <v>80215860</v>
      </c>
      <c r="E19">
        <v>1</v>
      </c>
      <c r="F19">
        <v>1</v>
      </c>
      <c r="G19">
        <v>15514512</v>
      </c>
      <c r="H19">
        <v>3</v>
      </c>
      <c r="I19" t="s">
        <v>282</v>
      </c>
      <c r="J19" t="s">
        <v>283</v>
      </c>
      <c r="K19" t="s">
        <v>284</v>
      </c>
      <c r="L19">
        <v>1354</v>
      </c>
      <c r="N19">
        <v>1010</v>
      </c>
      <c r="O19" t="s">
        <v>285</v>
      </c>
      <c r="P19" t="s">
        <v>285</v>
      </c>
      <c r="Q19">
        <v>1</v>
      </c>
      <c r="W19">
        <v>0</v>
      </c>
      <c r="X19">
        <v>-1952007382</v>
      </c>
      <c r="Y19">
        <f>(AT19*166)</f>
        <v>16600</v>
      </c>
      <c r="AA19">
        <v>2.75</v>
      </c>
      <c r="AB19">
        <v>0</v>
      </c>
      <c r="AC19">
        <v>0</v>
      </c>
      <c r="AD19">
        <v>0</v>
      </c>
      <c r="AE19">
        <v>2.75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100</v>
      </c>
      <c r="AU19" t="s">
        <v>85</v>
      </c>
      <c r="AV19">
        <v>0</v>
      </c>
      <c r="AW19">
        <v>2</v>
      </c>
      <c r="AX19">
        <v>80890739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ROUND(Y19*Source!I45,9)</f>
        <v>5644</v>
      </c>
      <c r="CY19">
        <f>AA19</f>
        <v>2.75</v>
      </c>
      <c r="CZ19">
        <f>AE19</f>
        <v>2.75</v>
      </c>
      <c r="DA19">
        <f>AI19</f>
        <v>1</v>
      </c>
      <c r="DB19">
        <f>ROUND((ROUND(AT19*CZ19,2)*166),6)</f>
        <v>45650</v>
      </c>
      <c r="DC19">
        <f>ROUND((ROUND(AT19*AG19,2)*166),6)</f>
        <v>0</v>
      </c>
      <c r="DD19" t="s">
        <v>3</v>
      </c>
      <c r="DE19" t="s">
        <v>3</v>
      </c>
      <c r="DF19">
        <f t="shared" si="0"/>
        <v>15521</v>
      </c>
      <c r="DG19">
        <f t="shared" si="1"/>
        <v>0</v>
      </c>
      <c r="DH19">
        <f t="shared" si="2"/>
        <v>0</v>
      </c>
      <c r="DI19">
        <f t="shared" si="3"/>
        <v>0</v>
      </c>
      <c r="DJ19">
        <f>DF19</f>
        <v>15521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5">
      <c r="A20">
        <f>ROW(Source!A46)</f>
        <v>46</v>
      </c>
      <c r="B20">
        <v>80890340</v>
      </c>
      <c r="C20">
        <v>80892477</v>
      </c>
      <c r="D20">
        <v>80199986</v>
      </c>
      <c r="E20">
        <v>15514512</v>
      </c>
      <c r="F20">
        <v>1</v>
      </c>
      <c r="G20">
        <v>15514512</v>
      </c>
      <c r="H20">
        <v>1</v>
      </c>
      <c r="I20" t="s">
        <v>267</v>
      </c>
      <c r="J20" t="s">
        <v>3</v>
      </c>
      <c r="K20" t="s">
        <v>268</v>
      </c>
      <c r="L20">
        <v>1191</v>
      </c>
      <c r="N20">
        <v>1013</v>
      </c>
      <c r="O20" t="s">
        <v>269</v>
      </c>
      <c r="P20" t="s">
        <v>269</v>
      </c>
      <c r="Q20">
        <v>1</v>
      </c>
      <c r="W20">
        <v>0</v>
      </c>
      <c r="X20">
        <v>476480486</v>
      </c>
      <c r="Y20">
        <f>AT20</f>
        <v>0.23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0.23</v>
      </c>
      <c r="AU20" t="s">
        <v>3</v>
      </c>
      <c r="AV20">
        <v>1</v>
      </c>
      <c r="AW20">
        <v>2</v>
      </c>
      <c r="AX20">
        <v>80892479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U20">
        <f>ROUND(AT20*Source!I46*AH20*AL20,2)</f>
        <v>0</v>
      </c>
      <c r="CV20">
        <f>ROUND(Y20*Source!I46,9)</f>
        <v>583.60889999999995</v>
      </c>
      <c r="CW20">
        <v>0</v>
      </c>
      <c r="CX20">
        <f>ROUND(Y20*Source!I46,9)</f>
        <v>583.60889999999995</v>
      </c>
      <c r="CY20">
        <f>AD20</f>
        <v>0</v>
      </c>
      <c r="CZ20">
        <f>AH20</f>
        <v>0</v>
      </c>
      <c r="DA20">
        <f>AL20</f>
        <v>1</v>
      </c>
      <c r="DB20">
        <f>ROUND(ROUND(AT20*CZ20,2),6)</f>
        <v>0</v>
      </c>
      <c r="DC20">
        <f>ROUND(ROUND(AT20*AG20,2),6)</f>
        <v>0</v>
      </c>
      <c r="DD20" t="s">
        <v>3</v>
      </c>
      <c r="DE20" t="s">
        <v>3</v>
      </c>
      <c r="DF20">
        <f t="shared" si="0"/>
        <v>0</v>
      </c>
      <c r="DG20">
        <f t="shared" si="1"/>
        <v>0</v>
      </c>
      <c r="DH20">
        <f t="shared" si="2"/>
        <v>0</v>
      </c>
      <c r="DI20">
        <f t="shared" si="3"/>
        <v>0</v>
      </c>
      <c r="DJ20">
        <f>DI20</f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5">
      <c r="A21">
        <f>ROW(Source!A47)</f>
        <v>47</v>
      </c>
      <c r="B21">
        <v>80890340</v>
      </c>
      <c r="C21">
        <v>80890543</v>
      </c>
      <c r="D21">
        <v>80199986</v>
      </c>
      <c r="E21">
        <v>15514512</v>
      </c>
      <c r="F21">
        <v>1</v>
      </c>
      <c r="G21">
        <v>15514512</v>
      </c>
      <c r="H21">
        <v>1</v>
      </c>
      <c r="I21" t="s">
        <v>267</v>
      </c>
      <c r="J21" t="s">
        <v>3</v>
      </c>
      <c r="K21" t="s">
        <v>268</v>
      </c>
      <c r="L21">
        <v>1191</v>
      </c>
      <c r="N21">
        <v>1013</v>
      </c>
      <c r="O21" t="s">
        <v>269</v>
      </c>
      <c r="P21" t="s">
        <v>269</v>
      </c>
      <c r="Q21">
        <v>1</v>
      </c>
      <c r="W21">
        <v>0</v>
      </c>
      <c r="X21">
        <v>476480486</v>
      </c>
      <c r="Y21">
        <f>(AT21*166)</f>
        <v>512.93999999999994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3.09</v>
      </c>
      <c r="AU21" t="s">
        <v>85</v>
      </c>
      <c r="AV21">
        <v>1</v>
      </c>
      <c r="AW21">
        <v>2</v>
      </c>
      <c r="AX21">
        <v>80890746</v>
      </c>
      <c r="AY21">
        <v>1</v>
      </c>
      <c r="AZ21">
        <v>2048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U21">
        <f>ROUND(AT21*Source!I47*AH21*AL21,2)</f>
        <v>0</v>
      </c>
      <c r="CV21">
        <f>ROUND(Y21*Source!I47,9)</f>
        <v>153.88200000000001</v>
      </c>
      <c r="CW21">
        <v>0</v>
      </c>
      <c r="CX21">
        <f>ROUND(Y21*Source!I47,9)</f>
        <v>153.88200000000001</v>
      </c>
      <c r="CY21">
        <f>AD21</f>
        <v>0</v>
      </c>
      <c r="CZ21">
        <f>AH21</f>
        <v>0</v>
      </c>
      <c r="DA21">
        <f>AL21</f>
        <v>1</v>
      </c>
      <c r="DB21">
        <f>ROUND((ROUND(AT21*CZ21,2)*166),6)</f>
        <v>0</v>
      </c>
      <c r="DC21">
        <f>ROUND((ROUND(AT21*AG21,2)*166),6)</f>
        <v>0</v>
      </c>
      <c r="DD21" t="s">
        <v>3</v>
      </c>
      <c r="DE21" t="s">
        <v>3</v>
      </c>
      <c r="DF21">
        <f t="shared" si="0"/>
        <v>0</v>
      </c>
      <c r="DG21">
        <f t="shared" si="1"/>
        <v>0</v>
      </c>
      <c r="DH21">
        <f t="shared" si="2"/>
        <v>0</v>
      </c>
      <c r="DI21">
        <f t="shared" si="3"/>
        <v>0</v>
      </c>
      <c r="DJ21">
        <f>DI21</f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5">
      <c r="A22">
        <f>ROW(Source!A83)</f>
        <v>83</v>
      </c>
      <c r="B22">
        <v>80890340</v>
      </c>
      <c r="C22">
        <v>80890602</v>
      </c>
      <c r="D22">
        <v>80213221</v>
      </c>
      <c r="E22">
        <v>1</v>
      </c>
      <c r="F22">
        <v>1</v>
      </c>
      <c r="G22">
        <v>15514512</v>
      </c>
      <c r="H22">
        <v>2</v>
      </c>
      <c r="I22" t="s">
        <v>270</v>
      </c>
      <c r="J22" t="s">
        <v>271</v>
      </c>
      <c r="K22" t="s">
        <v>272</v>
      </c>
      <c r="L22">
        <v>1368</v>
      </c>
      <c r="N22">
        <v>1011</v>
      </c>
      <c r="O22" t="s">
        <v>266</v>
      </c>
      <c r="P22" t="s">
        <v>266</v>
      </c>
      <c r="Q22">
        <v>1</v>
      </c>
      <c r="W22">
        <v>0</v>
      </c>
      <c r="X22">
        <v>-566548736</v>
      </c>
      <c r="Y22">
        <f t="shared" ref="Y22:Y27" si="4">(AT22*171)</f>
        <v>44.46</v>
      </c>
      <c r="AA22">
        <v>0</v>
      </c>
      <c r="AB22">
        <v>1783.28</v>
      </c>
      <c r="AC22">
        <v>842.87</v>
      </c>
      <c r="AD22">
        <v>0</v>
      </c>
      <c r="AE22">
        <v>0</v>
      </c>
      <c r="AF22">
        <v>1783.28</v>
      </c>
      <c r="AG22">
        <v>842.87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0.26</v>
      </c>
      <c r="AU22" t="s">
        <v>149</v>
      </c>
      <c r="AV22">
        <v>0</v>
      </c>
      <c r="AW22">
        <v>2</v>
      </c>
      <c r="AX22">
        <v>80890747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f>ROUND(Y22*Source!I83*DO22,9)</f>
        <v>0</v>
      </c>
      <c r="CX22">
        <f>ROUND(Y22*Source!I83,9)</f>
        <v>2910.565008</v>
      </c>
      <c r="CY22">
        <f>AB22</f>
        <v>1783.28</v>
      </c>
      <c r="CZ22">
        <f>AF22</f>
        <v>1783.28</v>
      </c>
      <c r="DA22">
        <f>AJ22</f>
        <v>1</v>
      </c>
      <c r="DB22">
        <f t="shared" ref="DB22:DB27" si="5">ROUND((ROUND(AT22*CZ22,2)*171),6)</f>
        <v>79284.149999999994</v>
      </c>
      <c r="DC22">
        <f t="shared" ref="DC22:DC27" si="6">ROUND((ROUND(AT22*AG22,2)*171),6)</f>
        <v>37474.65</v>
      </c>
      <c r="DD22" t="s">
        <v>3</v>
      </c>
      <c r="DE22" t="s">
        <v>3</v>
      </c>
      <c r="DF22">
        <f t="shared" si="0"/>
        <v>0</v>
      </c>
      <c r="DG22">
        <f t="shared" si="1"/>
        <v>5190352.37</v>
      </c>
      <c r="DH22">
        <f t="shared" si="2"/>
        <v>2453227.9300000002</v>
      </c>
      <c r="DI22">
        <f t="shared" si="3"/>
        <v>0</v>
      </c>
      <c r="DJ22">
        <f>DG22</f>
        <v>5190352.37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5">
      <c r="A23">
        <f>ROW(Source!A83)</f>
        <v>83</v>
      </c>
      <c r="B23">
        <v>80890340</v>
      </c>
      <c r="C23">
        <v>80890602</v>
      </c>
      <c r="D23">
        <v>80215470</v>
      </c>
      <c r="E23">
        <v>1</v>
      </c>
      <c r="F23">
        <v>1</v>
      </c>
      <c r="G23">
        <v>15514512</v>
      </c>
      <c r="H23">
        <v>3</v>
      </c>
      <c r="I23" t="s">
        <v>37</v>
      </c>
      <c r="J23" t="s">
        <v>40</v>
      </c>
      <c r="K23" t="s">
        <v>38</v>
      </c>
      <c r="L23">
        <v>1339</v>
      </c>
      <c r="N23">
        <v>1007</v>
      </c>
      <c r="O23" t="s">
        <v>39</v>
      </c>
      <c r="P23" t="s">
        <v>39</v>
      </c>
      <c r="Q23">
        <v>1</v>
      </c>
      <c r="W23">
        <v>1</v>
      </c>
      <c r="X23">
        <v>2112060389</v>
      </c>
      <c r="Y23">
        <f t="shared" si="4"/>
        <v>-34.200000000000003</v>
      </c>
      <c r="AA23">
        <v>54.81</v>
      </c>
      <c r="AB23">
        <v>0</v>
      </c>
      <c r="AC23">
        <v>0</v>
      </c>
      <c r="AD23">
        <v>0</v>
      </c>
      <c r="AE23">
        <v>54.81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-0.2</v>
      </c>
      <c r="AU23" t="s">
        <v>149</v>
      </c>
      <c r="AV23">
        <v>0</v>
      </c>
      <c r="AW23">
        <v>2</v>
      </c>
      <c r="AX23">
        <v>80890748</v>
      </c>
      <c r="AY23">
        <v>1</v>
      </c>
      <c r="AZ23">
        <v>6144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ROUND(Y23*Source!I83,9)</f>
        <v>-2238.8961599999998</v>
      </c>
      <c r="CY23">
        <f>AA23</f>
        <v>54.81</v>
      </c>
      <c r="CZ23">
        <f>AE23</f>
        <v>54.81</v>
      </c>
      <c r="DA23">
        <f>AI23</f>
        <v>1</v>
      </c>
      <c r="DB23">
        <f t="shared" si="5"/>
        <v>-1874.16</v>
      </c>
      <c r="DC23">
        <f t="shared" si="6"/>
        <v>0</v>
      </c>
      <c r="DD23" t="s">
        <v>3</v>
      </c>
      <c r="DE23" t="s">
        <v>3</v>
      </c>
      <c r="DF23">
        <f t="shared" si="0"/>
        <v>-122713.9</v>
      </c>
      <c r="DG23">
        <f t="shared" si="1"/>
        <v>0</v>
      </c>
      <c r="DH23">
        <f t="shared" si="2"/>
        <v>0</v>
      </c>
      <c r="DI23">
        <f t="shared" si="3"/>
        <v>0</v>
      </c>
      <c r="DJ23">
        <f>DF23</f>
        <v>-122713.9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5">
      <c r="A24">
        <f>ROW(Source!A85)</f>
        <v>85</v>
      </c>
      <c r="B24">
        <v>80890340</v>
      </c>
      <c r="C24">
        <v>80890603</v>
      </c>
      <c r="D24">
        <v>80199986</v>
      </c>
      <c r="E24">
        <v>15514512</v>
      </c>
      <c r="F24">
        <v>1</v>
      </c>
      <c r="G24">
        <v>15514512</v>
      </c>
      <c r="H24">
        <v>1</v>
      </c>
      <c r="I24" t="s">
        <v>267</v>
      </c>
      <c r="J24" t="s">
        <v>3</v>
      </c>
      <c r="K24" t="s">
        <v>268</v>
      </c>
      <c r="L24">
        <v>1191</v>
      </c>
      <c r="N24">
        <v>1013</v>
      </c>
      <c r="O24" t="s">
        <v>269</v>
      </c>
      <c r="P24" t="s">
        <v>269</v>
      </c>
      <c r="Q24">
        <v>1</v>
      </c>
      <c r="W24">
        <v>0</v>
      </c>
      <c r="X24">
        <v>476480486</v>
      </c>
      <c r="Y24">
        <f t="shared" si="4"/>
        <v>23.94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0.14000000000000001</v>
      </c>
      <c r="AU24" t="s">
        <v>149</v>
      </c>
      <c r="AV24">
        <v>1</v>
      </c>
      <c r="AW24">
        <v>2</v>
      </c>
      <c r="AX24">
        <v>80890750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U24">
        <f>ROUND(AT24*Source!I85*AH24*AL24,2)</f>
        <v>0</v>
      </c>
      <c r="CV24">
        <f>ROUND(Y24*Source!I85,9)</f>
        <v>3918.06828</v>
      </c>
      <c r="CW24">
        <v>0</v>
      </c>
      <c r="CX24">
        <f>ROUND(Y24*Source!I85,9)</f>
        <v>3918.06828</v>
      </c>
      <c r="CY24">
        <f>AD24</f>
        <v>0</v>
      </c>
      <c r="CZ24">
        <f>AH24</f>
        <v>0</v>
      </c>
      <c r="DA24">
        <f>AL24</f>
        <v>1</v>
      </c>
      <c r="DB24">
        <f t="shared" si="5"/>
        <v>0</v>
      </c>
      <c r="DC24">
        <f t="shared" si="6"/>
        <v>0</v>
      </c>
      <c r="DD24" t="s">
        <v>3</v>
      </c>
      <c r="DE24" t="s">
        <v>3</v>
      </c>
      <c r="DF24">
        <f t="shared" si="0"/>
        <v>0</v>
      </c>
      <c r="DG24">
        <f t="shared" si="1"/>
        <v>0</v>
      </c>
      <c r="DH24">
        <f t="shared" si="2"/>
        <v>0</v>
      </c>
      <c r="DI24">
        <f t="shared" si="3"/>
        <v>0</v>
      </c>
      <c r="DJ24">
        <f>DI24</f>
        <v>0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5">
      <c r="A25">
        <f>ROW(Source!A86)</f>
        <v>86</v>
      </c>
      <c r="B25">
        <v>80890340</v>
      </c>
      <c r="C25">
        <v>80890604</v>
      </c>
      <c r="D25">
        <v>80199986</v>
      </c>
      <c r="E25">
        <v>15514512</v>
      </c>
      <c r="F25">
        <v>1</v>
      </c>
      <c r="G25">
        <v>15514512</v>
      </c>
      <c r="H25">
        <v>1</v>
      </c>
      <c r="I25" t="s">
        <v>267</v>
      </c>
      <c r="J25" t="s">
        <v>3</v>
      </c>
      <c r="K25" t="s">
        <v>268</v>
      </c>
      <c r="L25">
        <v>1191</v>
      </c>
      <c r="N25">
        <v>1013</v>
      </c>
      <c r="O25" t="s">
        <v>269</v>
      </c>
      <c r="P25" t="s">
        <v>269</v>
      </c>
      <c r="Q25">
        <v>1</v>
      </c>
      <c r="W25">
        <v>0</v>
      </c>
      <c r="X25">
        <v>476480486</v>
      </c>
      <c r="Y25">
        <f t="shared" si="4"/>
        <v>41.04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0.24</v>
      </c>
      <c r="AU25" t="s">
        <v>149</v>
      </c>
      <c r="AV25">
        <v>1</v>
      </c>
      <c r="AW25">
        <v>2</v>
      </c>
      <c r="AX25">
        <v>80890751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U25">
        <f>ROUND(AT25*Source!I86*AH25*AL25,2)</f>
        <v>0</v>
      </c>
      <c r="CV25">
        <f>ROUND(Y25*Source!I86,9)</f>
        <v>38.803319999999999</v>
      </c>
      <c r="CW25">
        <v>0</v>
      </c>
      <c r="CX25">
        <f>ROUND(Y25*Source!I86,9)</f>
        <v>38.803319999999999</v>
      </c>
      <c r="CY25">
        <f>AD25</f>
        <v>0</v>
      </c>
      <c r="CZ25">
        <f>AH25</f>
        <v>0</v>
      </c>
      <c r="DA25">
        <f>AL25</f>
        <v>1</v>
      </c>
      <c r="DB25">
        <f t="shared" si="5"/>
        <v>0</v>
      </c>
      <c r="DC25">
        <f t="shared" si="6"/>
        <v>0</v>
      </c>
      <c r="DD25" t="s">
        <v>3</v>
      </c>
      <c r="DE25" t="s">
        <v>3</v>
      </c>
      <c r="DF25">
        <f t="shared" si="0"/>
        <v>0</v>
      </c>
      <c r="DG25">
        <f t="shared" si="1"/>
        <v>0</v>
      </c>
      <c r="DH25">
        <f t="shared" si="2"/>
        <v>0</v>
      </c>
      <c r="DI25">
        <f t="shared" si="3"/>
        <v>0</v>
      </c>
      <c r="DJ25">
        <f>DI25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5">
      <c r="A26">
        <f>ROW(Source!A87)</f>
        <v>87</v>
      </c>
      <c r="B26">
        <v>80890340</v>
      </c>
      <c r="C26">
        <v>80890605</v>
      </c>
      <c r="D26">
        <v>80199986</v>
      </c>
      <c r="E26">
        <v>15514512</v>
      </c>
      <c r="F26">
        <v>1</v>
      </c>
      <c r="G26">
        <v>15514512</v>
      </c>
      <c r="H26">
        <v>1</v>
      </c>
      <c r="I26" t="s">
        <v>267</v>
      </c>
      <c r="J26" t="s">
        <v>3</v>
      </c>
      <c r="K26" t="s">
        <v>268</v>
      </c>
      <c r="L26">
        <v>1191</v>
      </c>
      <c r="N26">
        <v>1013</v>
      </c>
      <c r="O26" t="s">
        <v>269</v>
      </c>
      <c r="P26" t="s">
        <v>269</v>
      </c>
      <c r="Q26">
        <v>1</v>
      </c>
      <c r="W26">
        <v>0</v>
      </c>
      <c r="X26">
        <v>476480486</v>
      </c>
      <c r="Y26">
        <f t="shared" si="4"/>
        <v>39.33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0.23</v>
      </c>
      <c r="AU26" t="s">
        <v>149</v>
      </c>
      <c r="AV26">
        <v>1</v>
      </c>
      <c r="AW26">
        <v>2</v>
      </c>
      <c r="AX26">
        <v>80890752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U26">
        <f>ROUND(AT26*Source!I87*AH26*AL26,2)</f>
        <v>0</v>
      </c>
      <c r="CV26">
        <f>ROUND(Y26*Source!I87,9)</f>
        <v>281.6028</v>
      </c>
      <c r="CW26">
        <v>0</v>
      </c>
      <c r="CX26">
        <f>ROUND(Y26*Source!I87,9)</f>
        <v>281.6028</v>
      </c>
      <c r="CY26">
        <f>AD26</f>
        <v>0</v>
      </c>
      <c r="CZ26">
        <f>AH26</f>
        <v>0</v>
      </c>
      <c r="DA26">
        <f>AL26</f>
        <v>1</v>
      </c>
      <c r="DB26">
        <f t="shared" si="5"/>
        <v>0</v>
      </c>
      <c r="DC26">
        <f t="shared" si="6"/>
        <v>0</v>
      </c>
      <c r="DD26" t="s">
        <v>3</v>
      </c>
      <c r="DE26" t="s">
        <v>3</v>
      </c>
      <c r="DF26">
        <f t="shared" si="0"/>
        <v>0</v>
      </c>
      <c r="DG26">
        <f t="shared" si="1"/>
        <v>0</v>
      </c>
      <c r="DH26">
        <f t="shared" si="2"/>
        <v>0</v>
      </c>
      <c r="DI26">
        <f t="shared" si="3"/>
        <v>0</v>
      </c>
      <c r="DJ26">
        <f>DI26</f>
        <v>0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5">
      <c r="A27">
        <f>ROW(Source!A87)</f>
        <v>87</v>
      </c>
      <c r="B27">
        <v>80890340</v>
      </c>
      <c r="C27">
        <v>80890605</v>
      </c>
      <c r="D27">
        <v>80215860</v>
      </c>
      <c r="E27">
        <v>1</v>
      </c>
      <c r="F27">
        <v>1</v>
      </c>
      <c r="G27">
        <v>15514512</v>
      </c>
      <c r="H27">
        <v>3</v>
      </c>
      <c r="I27" t="s">
        <v>282</v>
      </c>
      <c r="J27" t="s">
        <v>283</v>
      </c>
      <c r="K27" t="s">
        <v>284</v>
      </c>
      <c r="L27">
        <v>1354</v>
      </c>
      <c r="N27">
        <v>1010</v>
      </c>
      <c r="O27" t="s">
        <v>285</v>
      </c>
      <c r="P27" t="s">
        <v>285</v>
      </c>
      <c r="Q27">
        <v>1</v>
      </c>
      <c r="W27">
        <v>0</v>
      </c>
      <c r="X27">
        <v>-1952007382</v>
      </c>
      <c r="Y27">
        <f t="shared" si="4"/>
        <v>171</v>
      </c>
      <c r="AA27">
        <v>2.75</v>
      </c>
      <c r="AB27">
        <v>0</v>
      </c>
      <c r="AC27">
        <v>0</v>
      </c>
      <c r="AD27">
        <v>0</v>
      </c>
      <c r="AE27">
        <v>2.75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1</v>
      </c>
      <c r="AU27" t="s">
        <v>149</v>
      </c>
      <c r="AV27">
        <v>0</v>
      </c>
      <c r="AW27">
        <v>2</v>
      </c>
      <c r="AX27">
        <v>80890753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ROUND(Y27*Source!I87,9)</f>
        <v>1224.3599999999999</v>
      </c>
      <c r="CY27">
        <f>AA27</f>
        <v>2.75</v>
      </c>
      <c r="CZ27">
        <f>AE27</f>
        <v>2.75</v>
      </c>
      <c r="DA27">
        <f>AI27</f>
        <v>1</v>
      </c>
      <c r="DB27">
        <f t="shared" si="5"/>
        <v>470.25</v>
      </c>
      <c r="DC27">
        <f t="shared" si="6"/>
        <v>0</v>
      </c>
      <c r="DD27" t="s">
        <v>3</v>
      </c>
      <c r="DE27" t="s">
        <v>3</v>
      </c>
      <c r="DF27">
        <f t="shared" si="0"/>
        <v>3366.99</v>
      </c>
      <c r="DG27">
        <f t="shared" si="1"/>
        <v>0</v>
      </c>
      <c r="DH27">
        <f t="shared" si="2"/>
        <v>0</v>
      </c>
      <c r="DI27">
        <f t="shared" si="3"/>
        <v>0</v>
      </c>
      <c r="DJ27">
        <f>DF27</f>
        <v>3366.99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5">
      <c r="A28">
        <f>ROW(Source!A88)</f>
        <v>88</v>
      </c>
      <c r="B28">
        <v>80890340</v>
      </c>
      <c r="C28">
        <v>80890606</v>
      </c>
      <c r="D28">
        <v>80213221</v>
      </c>
      <c r="E28">
        <v>1</v>
      </c>
      <c r="F28">
        <v>1</v>
      </c>
      <c r="G28">
        <v>15514512</v>
      </c>
      <c r="H28">
        <v>2</v>
      </c>
      <c r="I28" t="s">
        <v>270</v>
      </c>
      <c r="J28" t="s">
        <v>271</v>
      </c>
      <c r="K28" t="s">
        <v>272</v>
      </c>
      <c r="L28">
        <v>1368</v>
      </c>
      <c r="N28">
        <v>1011</v>
      </c>
      <c r="O28" t="s">
        <v>266</v>
      </c>
      <c r="P28" t="s">
        <v>266</v>
      </c>
      <c r="Q28">
        <v>1</v>
      </c>
      <c r="W28">
        <v>0</v>
      </c>
      <c r="X28">
        <v>-566548736</v>
      </c>
      <c r="Y28">
        <f>(AT28*10)</f>
        <v>4.2</v>
      </c>
      <c r="AA28">
        <v>0</v>
      </c>
      <c r="AB28">
        <v>1783.28</v>
      </c>
      <c r="AC28">
        <v>842.87</v>
      </c>
      <c r="AD28">
        <v>0</v>
      </c>
      <c r="AE28">
        <v>0</v>
      </c>
      <c r="AF28">
        <v>1783.28</v>
      </c>
      <c r="AG28">
        <v>842.87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0.42</v>
      </c>
      <c r="AU28" t="s">
        <v>161</v>
      </c>
      <c r="AV28">
        <v>0</v>
      </c>
      <c r="AW28">
        <v>2</v>
      </c>
      <c r="AX28">
        <v>80890754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f>ROUND(Y28*Source!I88*DO28,9)</f>
        <v>0</v>
      </c>
      <c r="CX28">
        <f>ROUND(Y28*Source!I88,9)</f>
        <v>343.6902</v>
      </c>
      <c r="CY28">
        <f>AB28</f>
        <v>1783.28</v>
      </c>
      <c r="CZ28">
        <f>AF28</f>
        <v>1783.28</v>
      </c>
      <c r="DA28">
        <f>AJ28</f>
        <v>1</v>
      </c>
      <c r="DB28">
        <f>ROUND((ROUND(AT28*CZ28,2)*10),6)</f>
        <v>7489.8</v>
      </c>
      <c r="DC28">
        <f>ROUND((ROUND(AT28*AG28,2)*10),6)</f>
        <v>3540.1</v>
      </c>
      <c r="DD28" t="s">
        <v>3</v>
      </c>
      <c r="DE28" t="s">
        <v>3</v>
      </c>
      <c r="DF28">
        <f t="shared" si="0"/>
        <v>0</v>
      </c>
      <c r="DG28">
        <f t="shared" si="1"/>
        <v>612895.86</v>
      </c>
      <c r="DH28">
        <f t="shared" si="2"/>
        <v>289686.15999999997</v>
      </c>
      <c r="DI28">
        <f t="shared" si="3"/>
        <v>0</v>
      </c>
      <c r="DJ28">
        <f>DG28</f>
        <v>612895.86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5">
      <c r="A29">
        <f>ROW(Source!A88)</f>
        <v>88</v>
      </c>
      <c r="B29">
        <v>80890340</v>
      </c>
      <c r="C29">
        <v>80890606</v>
      </c>
      <c r="D29">
        <v>80215470</v>
      </c>
      <c r="E29">
        <v>1</v>
      </c>
      <c r="F29">
        <v>1</v>
      </c>
      <c r="G29">
        <v>15514512</v>
      </c>
      <c r="H29">
        <v>3</v>
      </c>
      <c r="I29" t="s">
        <v>37</v>
      </c>
      <c r="J29" t="s">
        <v>40</v>
      </c>
      <c r="K29" t="s">
        <v>38</v>
      </c>
      <c r="L29">
        <v>1339</v>
      </c>
      <c r="N29">
        <v>1007</v>
      </c>
      <c r="O29" t="s">
        <v>39</v>
      </c>
      <c r="P29" t="s">
        <v>39</v>
      </c>
      <c r="Q29">
        <v>1</v>
      </c>
      <c r="W29">
        <v>1</v>
      </c>
      <c r="X29">
        <v>2112060389</v>
      </c>
      <c r="Y29">
        <f>(AT29*10)</f>
        <v>-3.5</v>
      </c>
      <c r="AA29">
        <v>54.81</v>
      </c>
      <c r="AB29">
        <v>0</v>
      </c>
      <c r="AC29">
        <v>0</v>
      </c>
      <c r="AD29">
        <v>0</v>
      </c>
      <c r="AE29">
        <v>54.81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-0.35</v>
      </c>
      <c r="AU29" t="s">
        <v>161</v>
      </c>
      <c r="AV29">
        <v>0</v>
      </c>
      <c r="AW29">
        <v>2</v>
      </c>
      <c r="AX29">
        <v>80890755</v>
      </c>
      <c r="AY29">
        <v>1</v>
      </c>
      <c r="AZ29">
        <v>6144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ROUND(Y29*Source!I88,9)</f>
        <v>-286.4085</v>
      </c>
      <c r="CY29">
        <f>AA29</f>
        <v>54.81</v>
      </c>
      <c r="CZ29">
        <f>AE29</f>
        <v>54.81</v>
      </c>
      <c r="DA29">
        <f>AI29</f>
        <v>1</v>
      </c>
      <c r="DB29">
        <f>ROUND((ROUND(AT29*CZ29,2)*10),6)</f>
        <v>-191.8</v>
      </c>
      <c r="DC29">
        <f>ROUND((ROUND(AT29*AG29,2)*10),6)</f>
        <v>0</v>
      </c>
      <c r="DD29" t="s">
        <v>3</v>
      </c>
      <c r="DE29" t="s">
        <v>3</v>
      </c>
      <c r="DF29">
        <f t="shared" si="0"/>
        <v>-15698.05</v>
      </c>
      <c r="DG29">
        <f t="shared" si="1"/>
        <v>0</v>
      </c>
      <c r="DH29">
        <f t="shared" si="2"/>
        <v>0</v>
      </c>
      <c r="DI29">
        <f t="shared" si="3"/>
        <v>0</v>
      </c>
      <c r="DJ29">
        <f>DF29</f>
        <v>-15698.05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5">
      <c r="A30">
        <f>ROW(Source!A90)</f>
        <v>90</v>
      </c>
      <c r="B30">
        <v>80890340</v>
      </c>
      <c r="C30">
        <v>80890607</v>
      </c>
      <c r="D30">
        <v>80213221</v>
      </c>
      <c r="E30">
        <v>1</v>
      </c>
      <c r="F30">
        <v>1</v>
      </c>
      <c r="G30">
        <v>15514512</v>
      </c>
      <c r="H30">
        <v>2</v>
      </c>
      <c r="I30" t="s">
        <v>270</v>
      </c>
      <c r="J30" t="s">
        <v>271</v>
      </c>
      <c r="K30" t="s">
        <v>272</v>
      </c>
      <c r="L30">
        <v>1368</v>
      </c>
      <c r="N30">
        <v>1011</v>
      </c>
      <c r="O30" t="s">
        <v>266</v>
      </c>
      <c r="P30" t="s">
        <v>266</v>
      </c>
      <c r="Q30">
        <v>1</v>
      </c>
      <c r="W30">
        <v>0</v>
      </c>
      <c r="X30">
        <v>-566548736</v>
      </c>
      <c r="Y30">
        <f>AT30</f>
        <v>0.66</v>
      </c>
      <c r="AA30">
        <v>0</v>
      </c>
      <c r="AB30">
        <v>1783.28</v>
      </c>
      <c r="AC30">
        <v>842.87</v>
      </c>
      <c r="AD30">
        <v>0</v>
      </c>
      <c r="AE30">
        <v>0</v>
      </c>
      <c r="AF30">
        <v>1783.28</v>
      </c>
      <c r="AG30">
        <v>842.87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0.66</v>
      </c>
      <c r="AU30" t="s">
        <v>3</v>
      </c>
      <c r="AV30">
        <v>0</v>
      </c>
      <c r="AW30">
        <v>2</v>
      </c>
      <c r="AX30">
        <v>80890757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f>ROUND(Y30*Source!I90*DO30,9)</f>
        <v>0</v>
      </c>
      <c r="CX30">
        <f>ROUND(Y30*Source!I90,9)</f>
        <v>54.008459999999999</v>
      </c>
      <c r="CY30">
        <f>AB30</f>
        <v>1783.28</v>
      </c>
      <c r="CZ30">
        <f>AF30</f>
        <v>1783.28</v>
      </c>
      <c r="DA30">
        <f>AJ30</f>
        <v>1</v>
      </c>
      <c r="DB30">
        <f>ROUND(ROUND(AT30*CZ30,2),6)</f>
        <v>1176.96</v>
      </c>
      <c r="DC30">
        <f>ROUND(ROUND(AT30*AG30,2),6)</f>
        <v>556.29</v>
      </c>
      <c r="DD30" t="s">
        <v>3</v>
      </c>
      <c r="DE30" t="s">
        <v>3</v>
      </c>
      <c r="DF30">
        <f t="shared" si="0"/>
        <v>0</v>
      </c>
      <c r="DG30">
        <f t="shared" si="1"/>
        <v>96312.21</v>
      </c>
      <c r="DH30">
        <f t="shared" si="2"/>
        <v>45522.11</v>
      </c>
      <c r="DI30">
        <f t="shared" si="3"/>
        <v>0</v>
      </c>
      <c r="DJ30">
        <f>DG30</f>
        <v>96312.21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5">
      <c r="A31">
        <f>ROW(Source!A90)</f>
        <v>90</v>
      </c>
      <c r="B31">
        <v>80890340</v>
      </c>
      <c r="C31">
        <v>80890607</v>
      </c>
      <c r="D31">
        <v>80215394</v>
      </c>
      <c r="E31">
        <v>1</v>
      </c>
      <c r="F31">
        <v>1</v>
      </c>
      <c r="G31">
        <v>15514512</v>
      </c>
      <c r="H31">
        <v>3</v>
      </c>
      <c r="I31" t="s">
        <v>286</v>
      </c>
      <c r="J31" t="s">
        <v>287</v>
      </c>
      <c r="K31" t="s">
        <v>288</v>
      </c>
      <c r="L31">
        <v>1296</v>
      </c>
      <c r="N31">
        <v>1002</v>
      </c>
      <c r="O31" t="s">
        <v>250</v>
      </c>
      <c r="P31" t="s">
        <v>250</v>
      </c>
      <c r="Q31">
        <v>1</v>
      </c>
      <c r="W31">
        <v>0</v>
      </c>
      <c r="X31">
        <v>427032128</v>
      </c>
      <c r="Y31">
        <f>AT31</f>
        <v>1.1200000000000001</v>
      </c>
      <c r="AA31">
        <v>256.36</v>
      </c>
      <c r="AB31">
        <v>0</v>
      </c>
      <c r="AC31">
        <v>0</v>
      </c>
      <c r="AD31">
        <v>0</v>
      </c>
      <c r="AE31">
        <v>256.36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1.1200000000000001</v>
      </c>
      <c r="AU31" t="s">
        <v>3</v>
      </c>
      <c r="AV31">
        <v>0</v>
      </c>
      <c r="AW31">
        <v>2</v>
      </c>
      <c r="AX31">
        <v>80890758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ROUND(Y31*Source!I90,9)</f>
        <v>91.650720000000007</v>
      </c>
      <c r="CY31">
        <f>AA31</f>
        <v>256.36</v>
      </c>
      <c r="CZ31">
        <f>AE31</f>
        <v>256.36</v>
      </c>
      <c r="DA31">
        <f>AI31</f>
        <v>1</v>
      </c>
      <c r="DB31">
        <f>ROUND(ROUND(AT31*CZ31,2),6)</f>
        <v>287.12</v>
      </c>
      <c r="DC31">
        <f>ROUND(ROUND(AT31*AG31,2),6)</f>
        <v>0</v>
      </c>
      <c r="DD31" t="s">
        <v>3</v>
      </c>
      <c r="DE31" t="s">
        <v>3</v>
      </c>
      <c r="DF31">
        <f t="shared" si="0"/>
        <v>23495.58</v>
      </c>
      <c r="DG31">
        <f t="shared" si="1"/>
        <v>0</v>
      </c>
      <c r="DH31">
        <f t="shared" si="2"/>
        <v>0</v>
      </c>
      <c r="DI31">
        <f t="shared" si="3"/>
        <v>0</v>
      </c>
      <c r="DJ31">
        <f>DF31</f>
        <v>23495.58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5">
      <c r="A32">
        <f>ROW(Source!A90)</f>
        <v>90</v>
      </c>
      <c r="B32">
        <v>80890340</v>
      </c>
      <c r="C32">
        <v>80890607</v>
      </c>
      <c r="D32">
        <v>80215470</v>
      </c>
      <c r="E32">
        <v>1</v>
      </c>
      <c r="F32">
        <v>1</v>
      </c>
      <c r="G32">
        <v>15514512</v>
      </c>
      <c r="H32">
        <v>3</v>
      </c>
      <c r="I32" t="s">
        <v>37</v>
      </c>
      <c r="J32" t="s">
        <v>40</v>
      </c>
      <c r="K32" t="s">
        <v>38</v>
      </c>
      <c r="L32">
        <v>1339</v>
      </c>
      <c r="N32">
        <v>1007</v>
      </c>
      <c r="O32" t="s">
        <v>39</v>
      </c>
      <c r="P32" t="s">
        <v>39</v>
      </c>
      <c r="Q32">
        <v>1</v>
      </c>
      <c r="W32">
        <v>1</v>
      </c>
      <c r="X32">
        <v>2112060389</v>
      </c>
      <c r="Y32">
        <f>AT32</f>
        <v>-1.1200000000000001</v>
      </c>
      <c r="AA32">
        <v>54.81</v>
      </c>
      <c r="AB32">
        <v>0</v>
      </c>
      <c r="AC32">
        <v>0</v>
      </c>
      <c r="AD32">
        <v>0</v>
      </c>
      <c r="AE32">
        <v>54.81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-1.1200000000000001</v>
      </c>
      <c r="AU32" t="s">
        <v>3</v>
      </c>
      <c r="AV32">
        <v>0</v>
      </c>
      <c r="AW32">
        <v>2</v>
      </c>
      <c r="AX32">
        <v>80890759</v>
      </c>
      <c r="AY32">
        <v>1</v>
      </c>
      <c r="AZ32">
        <v>6144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ROUND(Y32*Source!I90,9)</f>
        <v>-91.650720000000007</v>
      </c>
      <c r="CY32">
        <f>AA32</f>
        <v>54.81</v>
      </c>
      <c r="CZ32">
        <f>AE32</f>
        <v>54.81</v>
      </c>
      <c r="DA32">
        <f>AI32</f>
        <v>1</v>
      </c>
      <c r="DB32">
        <f>ROUND(ROUND(AT32*CZ32,2),6)</f>
        <v>-61.39</v>
      </c>
      <c r="DC32">
        <f>ROUND(ROUND(AT32*AG32,2),6)</f>
        <v>0</v>
      </c>
      <c r="DD32" t="s">
        <v>3</v>
      </c>
      <c r="DE32" t="s">
        <v>3</v>
      </c>
      <c r="DF32">
        <f t="shared" si="0"/>
        <v>-5023.38</v>
      </c>
      <c r="DG32">
        <f t="shared" si="1"/>
        <v>0</v>
      </c>
      <c r="DH32">
        <f t="shared" si="2"/>
        <v>0</v>
      </c>
      <c r="DI32">
        <f t="shared" si="3"/>
        <v>0</v>
      </c>
      <c r="DJ32">
        <f>DF32</f>
        <v>-5023.38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5">
      <c r="A33">
        <f>ROW(Source!A92)</f>
        <v>92</v>
      </c>
      <c r="B33">
        <v>80890340</v>
      </c>
      <c r="C33">
        <v>80890608</v>
      </c>
      <c r="D33">
        <v>80199986</v>
      </c>
      <c r="E33">
        <v>15514512</v>
      </c>
      <c r="F33">
        <v>1</v>
      </c>
      <c r="G33">
        <v>15514512</v>
      </c>
      <c r="H33">
        <v>1</v>
      </c>
      <c r="I33" t="s">
        <v>267</v>
      </c>
      <c r="J33" t="s">
        <v>3</v>
      </c>
      <c r="K33" t="s">
        <v>268</v>
      </c>
      <c r="L33">
        <v>1191</v>
      </c>
      <c r="N33">
        <v>1013</v>
      </c>
      <c r="O33" t="s">
        <v>269</v>
      </c>
      <c r="P33" t="s">
        <v>269</v>
      </c>
      <c r="Q33">
        <v>1</v>
      </c>
      <c r="W33">
        <v>0</v>
      </c>
      <c r="X33">
        <v>476480486</v>
      </c>
      <c r="Y33">
        <f>(AT33*19)</f>
        <v>99.75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5.25</v>
      </c>
      <c r="AU33" t="s">
        <v>170</v>
      </c>
      <c r="AV33">
        <v>1</v>
      </c>
      <c r="AW33">
        <v>2</v>
      </c>
      <c r="AX33">
        <v>80890761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U33">
        <f>ROUND(AT33*Source!I92*AH33*AL33,2)</f>
        <v>0</v>
      </c>
      <c r="CV33">
        <f>ROUND(Y33*Source!I92,9)</f>
        <v>66.912300000000002</v>
      </c>
      <c r="CW33">
        <v>0</v>
      </c>
      <c r="CX33">
        <f>ROUND(Y33*Source!I92,9)</f>
        <v>66.912300000000002</v>
      </c>
      <c r="CY33">
        <f>AD33</f>
        <v>0</v>
      </c>
      <c r="CZ33">
        <f>AH33</f>
        <v>0</v>
      </c>
      <c r="DA33">
        <f>AL33</f>
        <v>1</v>
      </c>
      <c r="DB33">
        <f>ROUND((ROUND(AT33*CZ33,2)*19),6)</f>
        <v>0</v>
      </c>
      <c r="DC33">
        <f>ROUND((ROUND(AT33*AG33,2)*19),6)</f>
        <v>0</v>
      </c>
      <c r="DD33" t="s">
        <v>3</v>
      </c>
      <c r="DE33" t="s">
        <v>3</v>
      </c>
      <c r="DF33">
        <f t="shared" ref="DF33:DF64" si="7">ROUND(ROUND(AE33,2)*CX33,2)</f>
        <v>0</v>
      </c>
      <c r="DG33">
        <f t="shared" ref="DG33:DG64" si="8">ROUND(ROUND(AF33,2)*CX33,2)</f>
        <v>0</v>
      </c>
      <c r="DH33">
        <f t="shared" ref="DH33:DH64" si="9">ROUND(ROUND(AG33,2)*CX33,2)</f>
        <v>0</v>
      </c>
      <c r="DI33">
        <f t="shared" ref="DI33:DI64" si="10">ROUND(ROUND(AH33,2)*CX33,2)</f>
        <v>0</v>
      </c>
      <c r="DJ33">
        <f>DI33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5">
      <c r="A34">
        <f>ROW(Source!A92)</f>
        <v>92</v>
      </c>
      <c r="B34">
        <v>80890340</v>
      </c>
      <c r="C34">
        <v>80890608</v>
      </c>
      <c r="D34">
        <v>80215377</v>
      </c>
      <c r="E34">
        <v>1</v>
      </c>
      <c r="F34">
        <v>1</v>
      </c>
      <c r="G34">
        <v>15514512</v>
      </c>
      <c r="H34">
        <v>3</v>
      </c>
      <c r="I34" t="s">
        <v>289</v>
      </c>
      <c r="J34" t="s">
        <v>290</v>
      </c>
      <c r="K34" t="s">
        <v>291</v>
      </c>
      <c r="L34">
        <v>1346</v>
      </c>
      <c r="N34">
        <v>1009</v>
      </c>
      <c r="O34" t="s">
        <v>220</v>
      </c>
      <c r="P34" t="s">
        <v>220</v>
      </c>
      <c r="Q34">
        <v>1</v>
      </c>
      <c r="W34">
        <v>0</v>
      </c>
      <c r="X34">
        <v>1035813304</v>
      </c>
      <c r="Y34">
        <f>(AT34*19)</f>
        <v>0.56999999999999995</v>
      </c>
      <c r="AA34">
        <v>46.9</v>
      </c>
      <c r="AB34">
        <v>0</v>
      </c>
      <c r="AC34">
        <v>0</v>
      </c>
      <c r="AD34">
        <v>0</v>
      </c>
      <c r="AE34">
        <v>46.9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0.03</v>
      </c>
      <c r="AU34" t="s">
        <v>170</v>
      </c>
      <c r="AV34">
        <v>0</v>
      </c>
      <c r="AW34">
        <v>2</v>
      </c>
      <c r="AX34">
        <v>80890762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ROUND(Y34*Source!I92,9)</f>
        <v>0.38235599999999997</v>
      </c>
      <c r="CY34">
        <f>AA34</f>
        <v>46.9</v>
      </c>
      <c r="CZ34">
        <f>AE34</f>
        <v>46.9</v>
      </c>
      <c r="DA34">
        <f>AI34</f>
        <v>1</v>
      </c>
      <c r="DB34">
        <f>ROUND((ROUND(AT34*CZ34,2)*19),6)</f>
        <v>26.79</v>
      </c>
      <c r="DC34">
        <f>ROUND((ROUND(AT34*AG34,2)*19),6)</f>
        <v>0</v>
      </c>
      <c r="DD34" t="s">
        <v>3</v>
      </c>
      <c r="DE34" t="s">
        <v>3</v>
      </c>
      <c r="DF34">
        <f t="shared" si="7"/>
        <v>17.93</v>
      </c>
      <c r="DG34">
        <f t="shared" si="8"/>
        <v>0</v>
      </c>
      <c r="DH34">
        <f t="shared" si="9"/>
        <v>0</v>
      </c>
      <c r="DI34">
        <f t="shared" si="10"/>
        <v>0</v>
      </c>
      <c r="DJ34">
        <f>DF34</f>
        <v>17.93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5">
      <c r="A35">
        <f>ROW(Source!A92)</f>
        <v>92</v>
      </c>
      <c r="B35">
        <v>80890340</v>
      </c>
      <c r="C35">
        <v>80890608</v>
      </c>
      <c r="D35">
        <v>80215470</v>
      </c>
      <c r="E35">
        <v>1</v>
      </c>
      <c r="F35">
        <v>1</v>
      </c>
      <c r="G35">
        <v>15514512</v>
      </c>
      <c r="H35">
        <v>3</v>
      </c>
      <c r="I35" t="s">
        <v>37</v>
      </c>
      <c r="J35" t="s">
        <v>40</v>
      </c>
      <c r="K35" t="s">
        <v>38</v>
      </c>
      <c r="L35">
        <v>1339</v>
      </c>
      <c r="N35">
        <v>1007</v>
      </c>
      <c r="O35" t="s">
        <v>39</v>
      </c>
      <c r="P35" t="s">
        <v>39</v>
      </c>
      <c r="Q35">
        <v>1</v>
      </c>
      <c r="W35">
        <v>0</v>
      </c>
      <c r="X35">
        <v>2112060389</v>
      </c>
      <c r="Y35">
        <f>(AT35*19)</f>
        <v>0.19</v>
      </c>
      <c r="AA35">
        <v>54.81</v>
      </c>
      <c r="AB35">
        <v>0</v>
      </c>
      <c r="AC35">
        <v>0</v>
      </c>
      <c r="AD35">
        <v>0</v>
      </c>
      <c r="AE35">
        <v>54.81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0.01</v>
      </c>
      <c r="AU35" t="s">
        <v>170</v>
      </c>
      <c r="AV35">
        <v>0</v>
      </c>
      <c r="AW35">
        <v>2</v>
      </c>
      <c r="AX35">
        <v>80890763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ROUND(Y35*Source!I92,9)</f>
        <v>0.12745200000000001</v>
      </c>
      <c r="CY35">
        <f>AA35</f>
        <v>54.81</v>
      </c>
      <c r="CZ35">
        <f>AE35</f>
        <v>54.81</v>
      </c>
      <c r="DA35">
        <f>AI35</f>
        <v>1</v>
      </c>
      <c r="DB35">
        <f>ROUND((ROUND(AT35*CZ35,2)*19),6)</f>
        <v>10.45</v>
      </c>
      <c r="DC35">
        <f>ROUND((ROUND(AT35*AG35,2)*19),6)</f>
        <v>0</v>
      </c>
      <c r="DD35" t="s">
        <v>3</v>
      </c>
      <c r="DE35" t="s">
        <v>3</v>
      </c>
      <c r="DF35">
        <f t="shared" si="7"/>
        <v>6.99</v>
      </c>
      <c r="DG35">
        <f t="shared" si="8"/>
        <v>0</v>
      </c>
      <c r="DH35">
        <f t="shared" si="9"/>
        <v>0</v>
      </c>
      <c r="DI35">
        <f t="shared" si="10"/>
        <v>0</v>
      </c>
      <c r="DJ35">
        <f>DF35</f>
        <v>6.99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5">
      <c r="A36">
        <f>ROW(Source!A93)</f>
        <v>93</v>
      </c>
      <c r="B36">
        <v>80890340</v>
      </c>
      <c r="C36">
        <v>80890610</v>
      </c>
      <c r="D36">
        <v>80199986</v>
      </c>
      <c r="E36">
        <v>15514512</v>
      </c>
      <c r="F36">
        <v>1</v>
      </c>
      <c r="G36">
        <v>15514512</v>
      </c>
      <c r="H36">
        <v>1</v>
      </c>
      <c r="I36" t="s">
        <v>267</v>
      </c>
      <c r="J36" t="s">
        <v>3</v>
      </c>
      <c r="K36" t="s">
        <v>268</v>
      </c>
      <c r="L36">
        <v>1191</v>
      </c>
      <c r="N36">
        <v>1013</v>
      </c>
      <c r="O36" t="s">
        <v>269</v>
      </c>
      <c r="P36" t="s">
        <v>269</v>
      </c>
      <c r="Q36">
        <v>1</v>
      </c>
      <c r="W36">
        <v>0</v>
      </c>
      <c r="X36">
        <v>476480486</v>
      </c>
      <c r="Y36">
        <f>(AT36*186)</f>
        <v>448.26000000000005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2.41</v>
      </c>
      <c r="AU36" t="s">
        <v>172</v>
      </c>
      <c r="AV36">
        <v>1</v>
      </c>
      <c r="AW36">
        <v>2</v>
      </c>
      <c r="AX36">
        <v>80890768</v>
      </c>
      <c r="AY36">
        <v>1</v>
      </c>
      <c r="AZ36">
        <v>2048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U36">
        <f>ROUND(AT36*Source!I93*AH36*AL36,2)</f>
        <v>0</v>
      </c>
      <c r="CV36">
        <f>ROUND(Y36*Source!I93,9)</f>
        <v>152.4084</v>
      </c>
      <c r="CW36">
        <v>0</v>
      </c>
      <c r="CX36">
        <f>ROUND(Y36*Source!I93,9)</f>
        <v>152.4084</v>
      </c>
      <c r="CY36">
        <f>AD36</f>
        <v>0</v>
      </c>
      <c r="CZ36">
        <f>AH36</f>
        <v>0</v>
      </c>
      <c r="DA36">
        <f>AL36</f>
        <v>1</v>
      </c>
      <c r="DB36">
        <f>ROUND((ROUND(AT36*CZ36,2)*186),6)</f>
        <v>0</v>
      </c>
      <c r="DC36">
        <f>ROUND((ROUND(AT36*AG36,2)*186),6)</f>
        <v>0</v>
      </c>
      <c r="DD36" t="s">
        <v>3</v>
      </c>
      <c r="DE36" t="s">
        <v>3</v>
      </c>
      <c r="DF36">
        <f t="shared" si="7"/>
        <v>0</v>
      </c>
      <c r="DG36">
        <f t="shared" si="8"/>
        <v>0</v>
      </c>
      <c r="DH36">
        <f t="shared" si="9"/>
        <v>0</v>
      </c>
      <c r="DI36">
        <f t="shared" si="10"/>
        <v>0</v>
      </c>
      <c r="DJ36">
        <f>DI36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5">
      <c r="A37">
        <f>ROW(Source!A93)</f>
        <v>93</v>
      </c>
      <c r="B37">
        <v>80890340</v>
      </c>
      <c r="C37">
        <v>80890610</v>
      </c>
      <c r="D37">
        <v>80215860</v>
      </c>
      <c r="E37">
        <v>1</v>
      </c>
      <c r="F37">
        <v>1</v>
      </c>
      <c r="G37">
        <v>15514512</v>
      </c>
      <c r="H37">
        <v>3</v>
      </c>
      <c r="I37" t="s">
        <v>282</v>
      </c>
      <c r="J37" t="s">
        <v>283</v>
      </c>
      <c r="K37" t="s">
        <v>284</v>
      </c>
      <c r="L37">
        <v>1354</v>
      </c>
      <c r="N37">
        <v>1010</v>
      </c>
      <c r="O37" t="s">
        <v>285</v>
      </c>
      <c r="P37" t="s">
        <v>285</v>
      </c>
      <c r="Q37">
        <v>1</v>
      </c>
      <c r="W37">
        <v>0</v>
      </c>
      <c r="X37">
        <v>-1952007382</v>
      </c>
      <c r="Y37">
        <f>(AT37*186)</f>
        <v>18600</v>
      </c>
      <c r="AA37">
        <v>2.75</v>
      </c>
      <c r="AB37">
        <v>0</v>
      </c>
      <c r="AC37">
        <v>0</v>
      </c>
      <c r="AD37">
        <v>0</v>
      </c>
      <c r="AE37">
        <v>2.75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100</v>
      </c>
      <c r="AU37" t="s">
        <v>172</v>
      </c>
      <c r="AV37">
        <v>0</v>
      </c>
      <c r="AW37">
        <v>2</v>
      </c>
      <c r="AX37">
        <v>80890769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ROUND(Y37*Source!I93,9)</f>
        <v>6324</v>
      </c>
      <c r="CY37">
        <f>AA37</f>
        <v>2.75</v>
      </c>
      <c r="CZ37">
        <f>AE37</f>
        <v>2.75</v>
      </c>
      <c r="DA37">
        <f>AI37</f>
        <v>1</v>
      </c>
      <c r="DB37">
        <f>ROUND((ROUND(AT37*CZ37,2)*186),6)</f>
        <v>51150</v>
      </c>
      <c r="DC37">
        <f>ROUND((ROUND(AT37*AG37,2)*186),6)</f>
        <v>0</v>
      </c>
      <c r="DD37" t="s">
        <v>3</v>
      </c>
      <c r="DE37" t="s">
        <v>3</v>
      </c>
      <c r="DF37">
        <f t="shared" si="7"/>
        <v>17391</v>
      </c>
      <c r="DG37">
        <f t="shared" si="8"/>
        <v>0</v>
      </c>
      <c r="DH37">
        <f t="shared" si="9"/>
        <v>0</v>
      </c>
      <c r="DI37">
        <f t="shared" si="10"/>
        <v>0</v>
      </c>
      <c r="DJ37">
        <f>DF37</f>
        <v>17391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5">
      <c r="A38">
        <f>ROW(Source!A94)</f>
        <v>94</v>
      </c>
      <c r="B38">
        <v>80890340</v>
      </c>
      <c r="C38">
        <v>80890611</v>
      </c>
      <c r="D38">
        <v>80199986</v>
      </c>
      <c r="E38">
        <v>15514512</v>
      </c>
      <c r="F38">
        <v>1</v>
      </c>
      <c r="G38">
        <v>15514512</v>
      </c>
      <c r="H38">
        <v>1</v>
      </c>
      <c r="I38" t="s">
        <v>267</v>
      </c>
      <c r="J38" t="s">
        <v>3</v>
      </c>
      <c r="K38" t="s">
        <v>268</v>
      </c>
      <c r="L38">
        <v>1191</v>
      </c>
      <c r="N38">
        <v>1013</v>
      </c>
      <c r="O38" t="s">
        <v>269</v>
      </c>
      <c r="P38" t="s">
        <v>269</v>
      </c>
      <c r="Q38">
        <v>1</v>
      </c>
      <c r="W38">
        <v>0</v>
      </c>
      <c r="X38">
        <v>476480486</v>
      </c>
      <c r="Y38">
        <f>(AT38*13)</f>
        <v>165.75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12.75</v>
      </c>
      <c r="AU38" t="s">
        <v>177</v>
      </c>
      <c r="AV38">
        <v>1</v>
      </c>
      <c r="AW38">
        <v>2</v>
      </c>
      <c r="AX38">
        <v>80890770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U38">
        <f>ROUND(AT38*Source!I94*AH38*AL38,2)</f>
        <v>0</v>
      </c>
      <c r="CV38">
        <f>ROUND(Y38*Source!I94,9)</f>
        <v>56.354999999999997</v>
      </c>
      <c r="CW38">
        <v>0</v>
      </c>
      <c r="CX38">
        <f>ROUND(Y38*Source!I94,9)</f>
        <v>56.354999999999997</v>
      </c>
      <c r="CY38">
        <f>AD38</f>
        <v>0</v>
      </c>
      <c r="CZ38">
        <f>AH38</f>
        <v>0</v>
      </c>
      <c r="DA38">
        <f>AL38</f>
        <v>1</v>
      </c>
      <c r="DB38">
        <f>ROUND((ROUND(AT38*CZ38,2)*13),6)</f>
        <v>0</v>
      </c>
      <c r="DC38">
        <f>ROUND((ROUND(AT38*AG38,2)*13),6)</f>
        <v>0</v>
      </c>
      <c r="DD38" t="s">
        <v>3</v>
      </c>
      <c r="DE38" t="s">
        <v>3</v>
      </c>
      <c r="DF38">
        <f t="shared" si="7"/>
        <v>0</v>
      </c>
      <c r="DG38">
        <f t="shared" si="8"/>
        <v>0</v>
      </c>
      <c r="DH38">
        <f t="shared" si="9"/>
        <v>0</v>
      </c>
      <c r="DI38">
        <f t="shared" si="10"/>
        <v>0</v>
      </c>
      <c r="DJ38">
        <f>DI38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5">
      <c r="A39">
        <f>ROW(Source!A94)</f>
        <v>94</v>
      </c>
      <c r="B39">
        <v>80890340</v>
      </c>
      <c r="C39">
        <v>80890611</v>
      </c>
      <c r="D39">
        <v>80215393</v>
      </c>
      <c r="E39">
        <v>1</v>
      </c>
      <c r="F39">
        <v>1</v>
      </c>
      <c r="G39">
        <v>15514512</v>
      </c>
      <c r="H39">
        <v>3</v>
      </c>
      <c r="I39" t="s">
        <v>292</v>
      </c>
      <c r="J39" t="s">
        <v>293</v>
      </c>
      <c r="K39" t="s">
        <v>294</v>
      </c>
      <c r="L39">
        <v>1296</v>
      </c>
      <c r="N39">
        <v>1002</v>
      </c>
      <c r="O39" t="s">
        <v>250</v>
      </c>
      <c r="P39" t="s">
        <v>250</v>
      </c>
      <c r="Q39">
        <v>1</v>
      </c>
      <c r="W39">
        <v>0</v>
      </c>
      <c r="X39">
        <v>-2014656141</v>
      </c>
      <c r="Y39">
        <f>(AT39*13)</f>
        <v>97.5</v>
      </c>
      <c r="AA39">
        <v>710.73</v>
      </c>
      <c r="AB39">
        <v>0</v>
      </c>
      <c r="AC39">
        <v>0</v>
      </c>
      <c r="AD39">
        <v>0</v>
      </c>
      <c r="AE39">
        <v>710.73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7.5</v>
      </c>
      <c r="AU39" t="s">
        <v>177</v>
      </c>
      <c r="AV39">
        <v>0</v>
      </c>
      <c r="AW39">
        <v>2</v>
      </c>
      <c r="AX39">
        <v>80890771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ROUND(Y39*Source!I94,9)</f>
        <v>33.15</v>
      </c>
      <c r="CY39">
        <f>AA39</f>
        <v>710.73</v>
      </c>
      <c r="CZ39">
        <f>AE39</f>
        <v>710.73</v>
      </c>
      <c r="DA39">
        <f>AI39</f>
        <v>1</v>
      </c>
      <c r="DB39">
        <f>ROUND((ROUND(AT39*CZ39,2)*13),6)</f>
        <v>69296.240000000005</v>
      </c>
      <c r="DC39">
        <f>ROUND((ROUND(AT39*AG39,2)*13),6)</f>
        <v>0</v>
      </c>
      <c r="DD39" t="s">
        <v>3</v>
      </c>
      <c r="DE39" t="s">
        <v>3</v>
      </c>
      <c r="DF39">
        <f t="shared" si="7"/>
        <v>23560.7</v>
      </c>
      <c r="DG39">
        <f t="shared" si="8"/>
        <v>0</v>
      </c>
      <c r="DH39">
        <f t="shared" si="9"/>
        <v>0</v>
      </c>
      <c r="DI39">
        <f t="shared" si="10"/>
        <v>0</v>
      </c>
      <c r="DJ39">
        <f>DF39</f>
        <v>23560.7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5">
      <c r="A40">
        <f>ROW(Source!A94)</f>
        <v>94</v>
      </c>
      <c r="B40">
        <v>80890340</v>
      </c>
      <c r="C40">
        <v>80890611</v>
      </c>
      <c r="D40">
        <v>80215470</v>
      </c>
      <c r="E40">
        <v>1</v>
      </c>
      <c r="F40">
        <v>1</v>
      </c>
      <c r="G40">
        <v>15514512</v>
      </c>
      <c r="H40">
        <v>3</v>
      </c>
      <c r="I40" t="s">
        <v>37</v>
      </c>
      <c r="J40" t="s">
        <v>40</v>
      </c>
      <c r="K40" t="s">
        <v>38</v>
      </c>
      <c r="L40">
        <v>1339</v>
      </c>
      <c r="N40">
        <v>1007</v>
      </c>
      <c r="O40" t="s">
        <v>39</v>
      </c>
      <c r="P40" t="s">
        <v>39</v>
      </c>
      <c r="Q40">
        <v>1</v>
      </c>
      <c r="W40">
        <v>0</v>
      </c>
      <c r="X40">
        <v>2112060389</v>
      </c>
      <c r="Y40">
        <f>(AT40*13)</f>
        <v>19.5</v>
      </c>
      <c r="AA40">
        <v>54.81</v>
      </c>
      <c r="AB40">
        <v>0</v>
      </c>
      <c r="AC40">
        <v>0</v>
      </c>
      <c r="AD40">
        <v>0</v>
      </c>
      <c r="AE40">
        <v>54.81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1.5</v>
      </c>
      <c r="AU40" t="s">
        <v>177</v>
      </c>
      <c r="AV40">
        <v>0</v>
      </c>
      <c r="AW40">
        <v>2</v>
      </c>
      <c r="AX40">
        <v>80890772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ROUND(Y40*Source!I94,9)</f>
        <v>6.63</v>
      </c>
      <c r="CY40">
        <f>AA40</f>
        <v>54.81</v>
      </c>
      <c r="CZ40">
        <f>AE40</f>
        <v>54.81</v>
      </c>
      <c r="DA40">
        <f>AI40</f>
        <v>1</v>
      </c>
      <c r="DB40">
        <f>ROUND((ROUND(AT40*CZ40,2)*13),6)</f>
        <v>1068.8599999999999</v>
      </c>
      <c r="DC40">
        <f>ROUND((ROUND(AT40*AG40,2)*13),6)</f>
        <v>0</v>
      </c>
      <c r="DD40" t="s">
        <v>3</v>
      </c>
      <c r="DE40" t="s">
        <v>3</v>
      </c>
      <c r="DF40">
        <f t="shared" si="7"/>
        <v>363.39</v>
      </c>
      <c r="DG40">
        <f t="shared" si="8"/>
        <v>0</v>
      </c>
      <c r="DH40">
        <f t="shared" si="9"/>
        <v>0</v>
      </c>
      <c r="DI40">
        <f t="shared" si="10"/>
        <v>0</v>
      </c>
      <c r="DJ40">
        <f>DF40</f>
        <v>363.39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5">
      <c r="A41">
        <f>ROW(Source!A94)</f>
        <v>94</v>
      </c>
      <c r="B41">
        <v>80890340</v>
      </c>
      <c r="C41">
        <v>80890611</v>
      </c>
      <c r="D41">
        <v>80215860</v>
      </c>
      <c r="E41">
        <v>1</v>
      </c>
      <c r="F41">
        <v>1</v>
      </c>
      <c r="G41">
        <v>15514512</v>
      </c>
      <c r="H41">
        <v>3</v>
      </c>
      <c r="I41" t="s">
        <v>282</v>
      </c>
      <c r="J41" t="s">
        <v>283</v>
      </c>
      <c r="K41" t="s">
        <v>284</v>
      </c>
      <c r="L41">
        <v>1354</v>
      </c>
      <c r="N41">
        <v>1010</v>
      </c>
      <c r="O41" t="s">
        <v>285</v>
      </c>
      <c r="P41" t="s">
        <v>285</v>
      </c>
      <c r="Q41">
        <v>1</v>
      </c>
      <c r="W41">
        <v>0</v>
      </c>
      <c r="X41">
        <v>-1952007382</v>
      </c>
      <c r="Y41">
        <f>(AT41*13)</f>
        <v>1300</v>
      </c>
      <c r="AA41">
        <v>2.75</v>
      </c>
      <c r="AB41">
        <v>0</v>
      </c>
      <c r="AC41">
        <v>0</v>
      </c>
      <c r="AD41">
        <v>0</v>
      </c>
      <c r="AE41">
        <v>2.75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100</v>
      </c>
      <c r="AU41" t="s">
        <v>177</v>
      </c>
      <c r="AV41">
        <v>0</v>
      </c>
      <c r="AW41">
        <v>2</v>
      </c>
      <c r="AX41">
        <v>80890773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ROUND(Y41*Source!I94,9)</f>
        <v>442</v>
      </c>
      <c r="CY41">
        <f>AA41</f>
        <v>2.75</v>
      </c>
      <c r="CZ41">
        <f>AE41</f>
        <v>2.75</v>
      </c>
      <c r="DA41">
        <f>AI41</f>
        <v>1</v>
      </c>
      <c r="DB41">
        <f>ROUND((ROUND(AT41*CZ41,2)*13),6)</f>
        <v>3575</v>
      </c>
      <c r="DC41">
        <f>ROUND((ROUND(AT41*AG41,2)*13),6)</f>
        <v>0</v>
      </c>
      <c r="DD41" t="s">
        <v>3</v>
      </c>
      <c r="DE41" t="s">
        <v>3</v>
      </c>
      <c r="DF41">
        <f t="shared" si="7"/>
        <v>1215.5</v>
      </c>
      <c r="DG41">
        <f t="shared" si="8"/>
        <v>0</v>
      </c>
      <c r="DH41">
        <f t="shared" si="9"/>
        <v>0</v>
      </c>
      <c r="DI41">
        <f t="shared" si="10"/>
        <v>0</v>
      </c>
      <c r="DJ41">
        <f>DF41</f>
        <v>1215.5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5">
      <c r="A42">
        <f>ROW(Source!A95)</f>
        <v>95</v>
      </c>
      <c r="B42">
        <v>80890340</v>
      </c>
      <c r="C42">
        <v>80890612</v>
      </c>
      <c r="D42">
        <v>80199986</v>
      </c>
      <c r="E42">
        <v>15514512</v>
      </c>
      <c r="F42">
        <v>1</v>
      </c>
      <c r="G42">
        <v>15514512</v>
      </c>
      <c r="H42">
        <v>1</v>
      </c>
      <c r="I42" t="s">
        <v>267</v>
      </c>
      <c r="J42" t="s">
        <v>3</v>
      </c>
      <c r="K42" t="s">
        <v>268</v>
      </c>
      <c r="L42">
        <v>1191</v>
      </c>
      <c r="N42">
        <v>1013</v>
      </c>
      <c r="O42" t="s">
        <v>269</v>
      </c>
      <c r="P42" t="s">
        <v>269</v>
      </c>
      <c r="Q42">
        <v>1</v>
      </c>
      <c r="W42">
        <v>0</v>
      </c>
      <c r="X42">
        <v>476480486</v>
      </c>
      <c r="Y42">
        <f>(AT42*171)</f>
        <v>51.3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0.3</v>
      </c>
      <c r="AU42" t="s">
        <v>149</v>
      </c>
      <c r="AV42">
        <v>1</v>
      </c>
      <c r="AW42">
        <v>2</v>
      </c>
      <c r="AX42">
        <v>80890774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U42">
        <f>ROUND(AT42*Source!I95*AH42*AL42,2)</f>
        <v>0</v>
      </c>
      <c r="CV42">
        <f>ROUND(Y42*Source!I95,9)</f>
        <v>153.9</v>
      </c>
      <c r="CW42">
        <v>0</v>
      </c>
      <c r="CX42">
        <f>ROUND(Y42*Source!I95,9)</f>
        <v>153.9</v>
      </c>
      <c r="CY42">
        <f>AD42</f>
        <v>0</v>
      </c>
      <c r="CZ42">
        <f>AH42</f>
        <v>0</v>
      </c>
      <c r="DA42">
        <f>AL42</f>
        <v>1</v>
      </c>
      <c r="DB42">
        <f>ROUND((ROUND(AT42*CZ42,2)*171),6)</f>
        <v>0</v>
      </c>
      <c r="DC42">
        <f>ROUND((ROUND(AT42*AG42,2)*171),6)</f>
        <v>0</v>
      </c>
      <c r="DD42" t="s">
        <v>3</v>
      </c>
      <c r="DE42" t="s">
        <v>3</v>
      </c>
      <c r="DF42">
        <f t="shared" si="7"/>
        <v>0</v>
      </c>
      <c r="DG42">
        <f t="shared" si="8"/>
        <v>0</v>
      </c>
      <c r="DH42">
        <f t="shared" si="9"/>
        <v>0</v>
      </c>
      <c r="DI42">
        <f t="shared" si="10"/>
        <v>0</v>
      </c>
      <c r="DJ42">
        <f>DI42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5">
      <c r="A43">
        <f>ROW(Source!A96)</f>
        <v>96</v>
      </c>
      <c r="B43">
        <v>80890340</v>
      </c>
      <c r="C43">
        <v>80890613</v>
      </c>
      <c r="D43">
        <v>80199986</v>
      </c>
      <c r="E43">
        <v>15514512</v>
      </c>
      <c r="F43">
        <v>1</v>
      </c>
      <c r="G43">
        <v>15514512</v>
      </c>
      <c r="H43">
        <v>1</v>
      </c>
      <c r="I43" t="s">
        <v>267</v>
      </c>
      <c r="J43" t="s">
        <v>3</v>
      </c>
      <c r="K43" t="s">
        <v>268</v>
      </c>
      <c r="L43">
        <v>1191</v>
      </c>
      <c r="N43">
        <v>1013</v>
      </c>
      <c r="O43" t="s">
        <v>269</v>
      </c>
      <c r="P43" t="s">
        <v>269</v>
      </c>
      <c r="Q43">
        <v>1</v>
      </c>
      <c r="W43">
        <v>0</v>
      </c>
      <c r="X43">
        <v>476480486</v>
      </c>
      <c r="Y43">
        <f>(AT43*3)</f>
        <v>3.7800000000000002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1.26</v>
      </c>
      <c r="AU43" t="s">
        <v>187</v>
      </c>
      <c r="AV43">
        <v>1</v>
      </c>
      <c r="AW43">
        <v>2</v>
      </c>
      <c r="AX43">
        <v>80890775</v>
      </c>
      <c r="AY43">
        <v>1</v>
      </c>
      <c r="AZ43">
        <v>2048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U43">
        <f>ROUND(AT43*Source!I96*AH43*AL43,2)</f>
        <v>0</v>
      </c>
      <c r="CV43">
        <f>ROUND(Y43*Source!I96,9)</f>
        <v>1.3513500000000001</v>
      </c>
      <c r="CW43">
        <v>0</v>
      </c>
      <c r="CX43">
        <f>ROUND(Y43*Source!I96,9)</f>
        <v>1.3513500000000001</v>
      </c>
      <c r="CY43">
        <f>AD43</f>
        <v>0</v>
      </c>
      <c r="CZ43">
        <f>AH43</f>
        <v>0</v>
      </c>
      <c r="DA43">
        <f>AL43</f>
        <v>1</v>
      </c>
      <c r="DB43">
        <f>ROUND((ROUND(AT43*CZ43,2)*3),6)</f>
        <v>0</v>
      </c>
      <c r="DC43">
        <f>ROUND((ROUND(AT43*AG43,2)*3),6)</f>
        <v>0</v>
      </c>
      <c r="DD43" t="s">
        <v>3</v>
      </c>
      <c r="DE43" t="s">
        <v>3</v>
      </c>
      <c r="DF43">
        <f t="shared" si="7"/>
        <v>0</v>
      </c>
      <c r="DG43">
        <f t="shared" si="8"/>
        <v>0</v>
      </c>
      <c r="DH43">
        <f t="shared" si="9"/>
        <v>0</v>
      </c>
      <c r="DI43">
        <f t="shared" si="10"/>
        <v>0</v>
      </c>
      <c r="DJ43">
        <f>DI43</f>
        <v>0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5">
      <c r="A44">
        <f>ROW(Source!A96)</f>
        <v>96</v>
      </c>
      <c r="B44">
        <v>80890340</v>
      </c>
      <c r="C44">
        <v>80890613</v>
      </c>
      <c r="D44">
        <v>80212965</v>
      </c>
      <c r="E44">
        <v>1</v>
      </c>
      <c r="F44">
        <v>1</v>
      </c>
      <c r="G44">
        <v>15514512</v>
      </c>
      <c r="H44">
        <v>2</v>
      </c>
      <c r="I44" t="s">
        <v>295</v>
      </c>
      <c r="J44" t="s">
        <v>296</v>
      </c>
      <c r="K44" t="s">
        <v>297</v>
      </c>
      <c r="L44">
        <v>1368</v>
      </c>
      <c r="N44">
        <v>1011</v>
      </c>
      <c r="O44" t="s">
        <v>266</v>
      </c>
      <c r="P44" t="s">
        <v>266</v>
      </c>
      <c r="Q44">
        <v>1</v>
      </c>
      <c r="W44">
        <v>0</v>
      </c>
      <c r="X44">
        <v>1866108989</v>
      </c>
      <c r="Y44">
        <f>(AT44*3)</f>
        <v>2.7</v>
      </c>
      <c r="AA44">
        <v>0</v>
      </c>
      <c r="AB44">
        <v>1165.03</v>
      </c>
      <c r="AC44">
        <v>351.43</v>
      </c>
      <c r="AD44">
        <v>0</v>
      </c>
      <c r="AE44">
        <v>0</v>
      </c>
      <c r="AF44">
        <v>1165.03</v>
      </c>
      <c r="AG44">
        <v>351.43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0.9</v>
      </c>
      <c r="AU44" t="s">
        <v>187</v>
      </c>
      <c r="AV44">
        <v>0</v>
      </c>
      <c r="AW44">
        <v>2</v>
      </c>
      <c r="AX44">
        <v>80890776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f>ROUND(Y44*Source!I96*DO44,9)</f>
        <v>0</v>
      </c>
      <c r="CX44">
        <f>ROUND(Y44*Source!I96,9)</f>
        <v>0.96525000000000005</v>
      </c>
      <c r="CY44">
        <f>AB44</f>
        <v>1165.03</v>
      </c>
      <c r="CZ44">
        <f>AF44</f>
        <v>1165.03</v>
      </c>
      <c r="DA44">
        <f>AJ44</f>
        <v>1</v>
      </c>
      <c r="DB44">
        <f>ROUND((ROUND(AT44*CZ44,2)*3),6)</f>
        <v>3145.59</v>
      </c>
      <c r="DC44">
        <f>ROUND((ROUND(AT44*AG44,2)*3),6)</f>
        <v>948.87</v>
      </c>
      <c r="DD44" t="s">
        <v>3</v>
      </c>
      <c r="DE44" t="s">
        <v>3</v>
      </c>
      <c r="DF44">
        <f t="shared" si="7"/>
        <v>0</v>
      </c>
      <c r="DG44">
        <f t="shared" si="8"/>
        <v>1124.55</v>
      </c>
      <c r="DH44">
        <f t="shared" si="9"/>
        <v>339.22</v>
      </c>
      <c r="DI44">
        <f t="shared" si="10"/>
        <v>0</v>
      </c>
      <c r="DJ44">
        <f>DG44</f>
        <v>1124.55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5">
      <c r="A45">
        <f>ROW(Source!A96)</f>
        <v>96</v>
      </c>
      <c r="B45">
        <v>80890340</v>
      </c>
      <c r="C45">
        <v>80890613</v>
      </c>
      <c r="D45">
        <v>80213223</v>
      </c>
      <c r="E45">
        <v>1</v>
      </c>
      <c r="F45">
        <v>1</v>
      </c>
      <c r="G45">
        <v>15514512</v>
      </c>
      <c r="H45">
        <v>2</v>
      </c>
      <c r="I45" t="s">
        <v>298</v>
      </c>
      <c r="J45" t="s">
        <v>299</v>
      </c>
      <c r="K45" t="s">
        <v>300</v>
      </c>
      <c r="L45">
        <v>1368</v>
      </c>
      <c r="N45">
        <v>1011</v>
      </c>
      <c r="O45" t="s">
        <v>266</v>
      </c>
      <c r="P45" t="s">
        <v>266</v>
      </c>
      <c r="Q45">
        <v>1</v>
      </c>
      <c r="W45">
        <v>0</v>
      </c>
      <c r="X45">
        <v>364728059</v>
      </c>
      <c r="Y45">
        <f>(AT45*3)</f>
        <v>2.9699999999999998</v>
      </c>
      <c r="AA45">
        <v>0</v>
      </c>
      <c r="AB45">
        <v>1877.34</v>
      </c>
      <c r="AC45">
        <v>967.36</v>
      </c>
      <c r="AD45">
        <v>0</v>
      </c>
      <c r="AE45">
        <v>0</v>
      </c>
      <c r="AF45">
        <v>1877.34</v>
      </c>
      <c r="AG45">
        <v>967.36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0.99</v>
      </c>
      <c r="AU45" t="s">
        <v>187</v>
      </c>
      <c r="AV45">
        <v>0</v>
      </c>
      <c r="AW45">
        <v>2</v>
      </c>
      <c r="AX45">
        <v>80890777</v>
      </c>
      <c r="AY45">
        <v>1</v>
      </c>
      <c r="AZ45">
        <v>2048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ROUND(Y45*Source!I96*DO45,9)</f>
        <v>0</v>
      </c>
      <c r="CX45">
        <f>ROUND(Y45*Source!I96,9)</f>
        <v>1.0617749999999999</v>
      </c>
      <c r="CY45">
        <f>AB45</f>
        <v>1877.34</v>
      </c>
      <c r="CZ45">
        <f>AF45</f>
        <v>1877.34</v>
      </c>
      <c r="DA45">
        <f>AJ45</f>
        <v>1</v>
      </c>
      <c r="DB45">
        <f>ROUND((ROUND(AT45*CZ45,2)*3),6)</f>
        <v>5575.71</v>
      </c>
      <c r="DC45">
        <f>ROUND((ROUND(AT45*AG45,2)*3),6)</f>
        <v>2873.07</v>
      </c>
      <c r="DD45" t="s">
        <v>3</v>
      </c>
      <c r="DE45" t="s">
        <v>3</v>
      </c>
      <c r="DF45">
        <f t="shared" si="7"/>
        <v>0</v>
      </c>
      <c r="DG45">
        <f t="shared" si="8"/>
        <v>1993.31</v>
      </c>
      <c r="DH45">
        <f t="shared" si="9"/>
        <v>1027.1199999999999</v>
      </c>
      <c r="DI45">
        <f t="shared" si="10"/>
        <v>0</v>
      </c>
      <c r="DJ45">
        <f>DG45</f>
        <v>1993.31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5">
      <c r="A46">
        <f>ROW(Source!A96)</f>
        <v>96</v>
      </c>
      <c r="B46">
        <v>80890340</v>
      </c>
      <c r="C46">
        <v>80890613</v>
      </c>
      <c r="D46">
        <v>80215470</v>
      </c>
      <c r="E46">
        <v>1</v>
      </c>
      <c r="F46">
        <v>1</v>
      </c>
      <c r="G46">
        <v>15514512</v>
      </c>
      <c r="H46">
        <v>3</v>
      </c>
      <c r="I46" t="s">
        <v>37</v>
      </c>
      <c r="J46" t="s">
        <v>40</v>
      </c>
      <c r="K46" t="s">
        <v>38</v>
      </c>
      <c r="L46">
        <v>1339</v>
      </c>
      <c r="N46">
        <v>1007</v>
      </c>
      <c r="O46" t="s">
        <v>39</v>
      </c>
      <c r="P46" t="s">
        <v>39</v>
      </c>
      <c r="Q46">
        <v>1</v>
      </c>
      <c r="W46">
        <v>1</v>
      </c>
      <c r="X46">
        <v>2112060389</v>
      </c>
      <c r="Y46">
        <f>(AT46*3)</f>
        <v>-2.4000000000000004</v>
      </c>
      <c r="AA46">
        <v>54.81</v>
      </c>
      <c r="AB46">
        <v>0</v>
      </c>
      <c r="AC46">
        <v>0</v>
      </c>
      <c r="AD46">
        <v>0</v>
      </c>
      <c r="AE46">
        <v>54.81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-0.8</v>
      </c>
      <c r="AU46" t="s">
        <v>187</v>
      </c>
      <c r="AV46">
        <v>0</v>
      </c>
      <c r="AW46">
        <v>2</v>
      </c>
      <c r="AX46">
        <v>80890778</v>
      </c>
      <c r="AY46">
        <v>1</v>
      </c>
      <c r="AZ46">
        <v>6144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ROUND(Y46*Source!I96,9)</f>
        <v>-0.85799999999999998</v>
      </c>
      <c r="CY46">
        <f>AA46</f>
        <v>54.81</v>
      </c>
      <c r="CZ46">
        <f>AE46</f>
        <v>54.81</v>
      </c>
      <c r="DA46">
        <f>AI46</f>
        <v>1</v>
      </c>
      <c r="DB46">
        <f>ROUND((ROUND(AT46*CZ46,2)*3),6)</f>
        <v>-131.55000000000001</v>
      </c>
      <c r="DC46">
        <f>ROUND((ROUND(AT46*AG46,2)*3),6)</f>
        <v>0</v>
      </c>
      <c r="DD46" t="s">
        <v>3</v>
      </c>
      <c r="DE46" t="s">
        <v>3</v>
      </c>
      <c r="DF46">
        <f t="shared" si="7"/>
        <v>-47.03</v>
      </c>
      <c r="DG46">
        <f t="shared" si="8"/>
        <v>0</v>
      </c>
      <c r="DH46">
        <f t="shared" si="9"/>
        <v>0</v>
      </c>
      <c r="DI46">
        <f t="shared" si="10"/>
        <v>0</v>
      </c>
      <c r="DJ46">
        <f>DF46</f>
        <v>-47.03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5">
      <c r="A47">
        <f>ROW(Source!A133)</f>
        <v>133</v>
      </c>
      <c r="B47">
        <v>80890340</v>
      </c>
      <c r="C47">
        <v>80890672</v>
      </c>
      <c r="D47">
        <v>80199986</v>
      </c>
      <c r="E47">
        <v>15514512</v>
      </c>
      <c r="F47">
        <v>1</v>
      </c>
      <c r="G47">
        <v>15514512</v>
      </c>
      <c r="H47">
        <v>1</v>
      </c>
      <c r="I47" t="s">
        <v>267</v>
      </c>
      <c r="J47" t="s">
        <v>3</v>
      </c>
      <c r="K47" t="s">
        <v>268</v>
      </c>
      <c r="L47">
        <v>1191</v>
      </c>
      <c r="N47">
        <v>1013</v>
      </c>
      <c r="O47" t="s">
        <v>269</v>
      </c>
      <c r="P47" t="s">
        <v>269</v>
      </c>
      <c r="Q47">
        <v>1</v>
      </c>
      <c r="W47">
        <v>0</v>
      </c>
      <c r="X47">
        <v>476480486</v>
      </c>
      <c r="Y47">
        <f t="shared" ref="Y47:Y52" si="11">AT47</f>
        <v>0.59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0.59</v>
      </c>
      <c r="AU47" t="s">
        <v>3</v>
      </c>
      <c r="AV47">
        <v>1</v>
      </c>
      <c r="AW47">
        <v>2</v>
      </c>
      <c r="AX47">
        <v>80890780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U47">
        <f>ROUND(AT47*Source!I133*AH47*AL47,2)</f>
        <v>0</v>
      </c>
      <c r="CV47">
        <f>ROUND(Y47*Source!I133,9)</f>
        <v>49.902790000000003</v>
      </c>
      <c r="CW47">
        <v>0</v>
      </c>
      <c r="CX47">
        <f>ROUND(Y47*Source!I133,9)</f>
        <v>49.902790000000003</v>
      </c>
      <c r="CY47">
        <f>AD47</f>
        <v>0</v>
      </c>
      <c r="CZ47">
        <f>AH47</f>
        <v>0</v>
      </c>
      <c r="DA47">
        <f>AL47</f>
        <v>1</v>
      </c>
      <c r="DB47">
        <f t="shared" ref="DB47:DB52" si="12">ROUND(ROUND(AT47*CZ47,2),6)</f>
        <v>0</v>
      </c>
      <c r="DC47">
        <f t="shared" ref="DC47:DC52" si="13">ROUND(ROUND(AT47*AG47,2),6)</f>
        <v>0</v>
      </c>
      <c r="DD47" t="s">
        <v>3</v>
      </c>
      <c r="DE47" t="s">
        <v>3</v>
      </c>
      <c r="DF47">
        <f t="shared" si="7"/>
        <v>0</v>
      </c>
      <c r="DG47">
        <f t="shared" si="8"/>
        <v>0</v>
      </c>
      <c r="DH47">
        <f t="shared" si="9"/>
        <v>0</v>
      </c>
      <c r="DI47">
        <f t="shared" si="10"/>
        <v>0</v>
      </c>
      <c r="DJ47">
        <f>DI47</f>
        <v>0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5">
      <c r="A48">
        <f>ROW(Source!A133)</f>
        <v>133</v>
      </c>
      <c r="B48">
        <v>80890340</v>
      </c>
      <c r="C48">
        <v>80890672</v>
      </c>
      <c r="D48">
        <v>80213222</v>
      </c>
      <c r="E48">
        <v>1</v>
      </c>
      <c r="F48">
        <v>1</v>
      </c>
      <c r="G48">
        <v>15514512</v>
      </c>
      <c r="H48">
        <v>2</v>
      </c>
      <c r="I48" t="s">
        <v>301</v>
      </c>
      <c r="J48" t="s">
        <v>302</v>
      </c>
      <c r="K48" t="s">
        <v>303</v>
      </c>
      <c r="L48">
        <v>1368</v>
      </c>
      <c r="N48">
        <v>1011</v>
      </c>
      <c r="O48" t="s">
        <v>266</v>
      </c>
      <c r="P48" t="s">
        <v>266</v>
      </c>
      <c r="Q48">
        <v>1</v>
      </c>
      <c r="W48">
        <v>0</v>
      </c>
      <c r="X48">
        <v>-2077718103</v>
      </c>
      <c r="Y48">
        <f t="shared" si="11"/>
        <v>0.34</v>
      </c>
      <c r="AA48">
        <v>0</v>
      </c>
      <c r="AB48">
        <v>20.7</v>
      </c>
      <c r="AC48">
        <v>0.2</v>
      </c>
      <c r="AD48">
        <v>0</v>
      </c>
      <c r="AE48">
        <v>0</v>
      </c>
      <c r="AF48">
        <v>20.7</v>
      </c>
      <c r="AG48">
        <v>0.2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0.34</v>
      </c>
      <c r="AU48" t="s">
        <v>3</v>
      </c>
      <c r="AV48">
        <v>0</v>
      </c>
      <c r="AW48">
        <v>2</v>
      </c>
      <c r="AX48">
        <v>80890781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f>ROUND(Y48*Source!I133*DO48,9)</f>
        <v>0</v>
      </c>
      <c r="CX48">
        <f>ROUND(Y48*Source!I133,9)</f>
        <v>28.757539999999999</v>
      </c>
      <c r="CY48">
        <f>AB48</f>
        <v>20.7</v>
      </c>
      <c r="CZ48">
        <f>AF48</f>
        <v>20.7</v>
      </c>
      <c r="DA48">
        <f>AJ48</f>
        <v>1</v>
      </c>
      <c r="DB48">
        <f t="shared" si="12"/>
        <v>7.04</v>
      </c>
      <c r="DC48">
        <f t="shared" si="13"/>
        <v>7.0000000000000007E-2</v>
      </c>
      <c r="DD48" t="s">
        <v>3</v>
      </c>
      <c r="DE48" t="s">
        <v>3</v>
      </c>
      <c r="DF48">
        <f t="shared" si="7"/>
        <v>0</v>
      </c>
      <c r="DG48">
        <f t="shared" si="8"/>
        <v>595.28</v>
      </c>
      <c r="DH48">
        <f t="shared" si="9"/>
        <v>5.75</v>
      </c>
      <c r="DI48">
        <f t="shared" si="10"/>
        <v>0</v>
      </c>
      <c r="DJ48">
        <f>DG48</f>
        <v>595.28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5">
      <c r="A49">
        <f>ROW(Source!A134)</f>
        <v>134</v>
      </c>
      <c r="B49">
        <v>80890340</v>
      </c>
      <c r="C49">
        <v>80890673</v>
      </c>
      <c r="D49">
        <v>80199986</v>
      </c>
      <c r="E49">
        <v>15514512</v>
      </c>
      <c r="F49">
        <v>1</v>
      </c>
      <c r="G49">
        <v>15514512</v>
      </c>
      <c r="H49">
        <v>1</v>
      </c>
      <c r="I49" t="s">
        <v>267</v>
      </c>
      <c r="J49" t="s">
        <v>3</v>
      </c>
      <c r="K49" t="s">
        <v>268</v>
      </c>
      <c r="L49">
        <v>1191</v>
      </c>
      <c r="N49">
        <v>1013</v>
      </c>
      <c r="O49" t="s">
        <v>269</v>
      </c>
      <c r="P49" t="s">
        <v>269</v>
      </c>
      <c r="Q49">
        <v>1</v>
      </c>
      <c r="W49">
        <v>0</v>
      </c>
      <c r="X49">
        <v>476480486</v>
      </c>
      <c r="Y49">
        <f t="shared" si="11"/>
        <v>1.6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1.6</v>
      </c>
      <c r="AU49" t="s">
        <v>3</v>
      </c>
      <c r="AV49">
        <v>1</v>
      </c>
      <c r="AW49">
        <v>2</v>
      </c>
      <c r="AX49">
        <v>80890782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U49">
        <f>ROUND(AT49*Source!I134*AH49*AL49,2)</f>
        <v>0</v>
      </c>
      <c r="CV49">
        <f>ROUND(Y49*Source!I134,9)</f>
        <v>135.3296</v>
      </c>
      <c r="CW49">
        <v>0</v>
      </c>
      <c r="CX49">
        <f>ROUND(Y49*Source!I134,9)</f>
        <v>135.3296</v>
      </c>
      <c r="CY49">
        <f>AD49</f>
        <v>0</v>
      </c>
      <c r="CZ49">
        <f>AH49</f>
        <v>0</v>
      </c>
      <c r="DA49">
        <f>AL49</f>
        <v>1</v>
      </c>
      <c r="DB49">
        <f t="shared" si="12"/>
        <v>0</v>
      </c>
      <c r="DC49">
        <f t="shared" si="13"/>
        <v>0</v>
      </c>
      <c r="DD49" t="s">
        <v>3</v>
      </c>
      <c r="DE49" t="s">
        <v>3</v>
      </c>
      <c r="DF49">
        <f t="shared" si="7"/>
        <v>0</v>
      </c>
      <c r="DG49">
        <f t="shared" si="8"/>
        <v>0</v>
      </c>
      <c r="DH49">
        <f t="shared" si="9"/>
        <v>0</v>
      </c>
      <c r="DI49">
        <f t="shared" si="10"/>
        <v>0</v>
      </c>
      <c r="DJ49">
        <f>DI49</f>
        <v>0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5">
      <c r="A50">
        <f>ROW(Source!A135)</f>
        <v>135</v>
      </c>
      <c r="B50">
        <v>80890340</v>
      </c>
      <c r="C50">
        <v>80890674</v>
      </c>
      <c r="D50">
        <v>80199986</v>
      </c>
      <c r="E50">
        <v>15514512</v>
      </c>
      <c r="F50">
        <v>1</v>
      </c>
      <c r="G50">
        <v>15514512</v>
      </c>
      <c r="H50">
        <v>1</v>
      </c>
      <c r="I50" t="s">
        <v>267</v>
      </c>
      <c r="J50" t="s">
        <v>3</v>
      </c>
      <c r="K50" t="s">
        <v>268</v>
      </c>
      <c r="L50">
        <v>1191</v>
      </c>
      <c r="N50">
        <v>1013</v>
      </c>
      <c r="O50" t="s">
        <v>269</v>
      </c>
      <c r="P50" t="s">
        <v>269</v>
      </c>
      <c r="Q50">
        <v>1</v>
      </c>
      <c r="W50">
        <v>0</v>
      </c>
      <c r="X50">
        <v>476480486</v>
      </c>
      <c r="Y50">
        <f t="shared" si="11"/>
        <v>0.48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0.48</v>
      </c>
      <c r="AU50" t="s">
        <v>3</v>
      </c>
      <c r="AV50">
        <v>1</v>
      </c>
      <c r="AW50">
        <v>2</v>
      </c>
      <c r="AX50">
        <v>80890783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U50">
        <f>ROUND(AT50*Source!I135*AH50*AL50,2)</f>
        <v>0</v>
      </c>
      <c r="CV50">
        <f>ROUND(Y50*Source!I135,9)</f>
        <v>20.299199999999999</v>
      </c>
      <c r="CW50">
        <v>0</v>
      </c>
      <c r="CX50">
        <f>ROUND(Y50*Source!I135,9)</f>
        <v>20.299199999999999</v>
      </c>
      <c r="CY50">
        <f>AD50</f>
        <v>0</v>
      </c>
      <c r="CZ50">
        <f>AH50</f>
        <v>0</v>
      </c>
      <c r="DA50">
        <f>AL50</f>
        <v>1</v>
      </c>
      <c r="DB50">
        <f t="shared" si="12"/>
        <v>0</v>
      </c>
      <c r="DC50">
        <f t="shared" si="13"/>
        <v>0</v>
      </c>
      <c r="DD50" t="s">
        <v>3</v>
      </c>
      <c r="DE50" t="s">
        <v>3</v>
      </c>
      <c r="DF50">
        <f t="shared" si="7"/>
        <v>0</v>
      </c>
      <c r="DG50">
        <f t="shared" si="8"/>
        <v>0</v>
      </c>
      <c r="DH50">
        <f t="shared" si="9"/>
        <v>0</v>
      </c>
      <c r="DI50">
        <f t="shared" si="10"/>
        <v>0</v>
      </c>
      <c r="DJ50">
        <f>DI50</f>
        <v>0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5">
      <c r="A51">
        <f>ROW(Source!A135)</f>
        <v>135</v>
      </c>
      <c r="B51">
        <v>80890340</v>
      </c>
      <c r="C51">
        <v>80890674</v>
      </c>
      <c r="D51">
        <v>80213338</v>
      </c>
      <c r="E51">
        <v>1</v>
      </c>
      <c r="F51">
        <v>1</v>
      </c>
      <c r="G51">
        <v>15514512</v>
      </c>
      <c r="H51">
        <v>2</v>
      </c>
      <c r="I51" t="s">
        <v>304</v>
      </c>
      <c r="J51" t="s">
        <v>305</v>
      </c>
      <c r="K51" t="s">
        <v>306</v>
      </c>
      <c r="L51">
        <v>1368</v>
      </c>
      <c r="N51">
        <v>1011</v>
      </c>
      <c r="O51" t="s">
        <v>266</v>
      </c>
      <c r="P51" t="s">
        <v>266</v>
      </c>
      <c r="Q51">
        <v>1</v>
      </c>
      <c r="W51">
        <v>0</v>
      </c>
      <c r="X51">
        <v>-1581114072</v>
      </c>
      <c r="Y51">
        <f t="shared" si="11"/>
        <v>0.21</v>
      </c>
      <c r="AA51">
        <v>0</v>
      </c>
      <c r="AB51">
        <v>1650.83</v>
      </c>
      <c r="AC51">
        <v>713.72</v>
      </c>
      <c r="AD51">
        <v>0</v>
      </c>
      <c r="AE51">
        <v>0</v>
      </c>
      <c r="AF51">
        <v>1650.83</v>
      </c>
      <c r="AG51">
        <v>713.72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0.21</v>
      </c>
      <c r="AU51" t="s">
        <v>3</v>
      </c>
      <c r="AV51">
        <v>0</v>
      </c>
      <c r="AW51">
        <v>2</v>
      </c>
      <c r="AX51">
        <v>80890784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f>ROUND(Y51*Source!I135*DO51,9)</f>
        <v>0</v>
      </c>
      <c r="CX51">
        <f>ROUND(Y51*Source!I135,9)</f>
        <v>8.8809000000000005</v>
      </c>
      <c r="CY51">
        <f>AB51</f>
        <v>1650.83</v>
      </c>
      <c r="CZ51">
        <f>AF51</f>
        <v>1650.83</v>
      </c>
      <c r="DA51">
        <f>AJ51</f>
        <v>1</v>
      </c>
      <c r="DB51">
        <f t="shared" si="12"/>
        <v>346.67</v>
      </c>
      <c r="DC51">
        <f t="shared" si="13"/>
        <v>149.88</v>
      </c>
      <c r="DD51" t="s">
        <v>3</v>
      </c>
      <c r="DE51" t="s">
        <v>3</v>
      </c>
      <c r="DF51">
        <f t="shared" si="7"/>
        <v>0</v>
      </c>
      <c r="DG51">
        <f t="shared" si="8"/>
        <v>14660.86</v>
      </c>
      <c r="DH51">
        <f t="shared" si="9"/>
        <v>6338.48</v>
      </c>
      <c r="DI51">
        <f t="shared" si="10"/>
        <v>0</v>
      </c>
      <c r="DJ51">
        <f>DG51</f>
        <v>14660.86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5">
      <c r="A52">
        <f>ROW(Source!A135)</f>
        <v>135</v>
      </c>
      <c r="B52">
        <v>80890340</v>
      </c>
      <c r="C52">
        <v>80890674</v>
      </c>
      <c r="D52">
        <v>80215861</v>
      </c>
      <c r="E52">
        <v>1</v>
      </c>
      <c r="F52">
        <v>1</v>
      </c>
      <c r="G52">
        <v>15514512</v>
      </c>
      <c r="H52">
        <v>3</v>
      </c>
      <c r="I52" t="s">
        <v>307</v>
      </c>
      <c r="J52" t="s">
        <v>308</v>
      </c>
      <c r="K52" t="s">
        <v>309</v>
      </c>
      <c r="L52">
        <v>1354</v>
      </c>
      <c r="N52">
        <v>1010</v>
      </c>
      <c r="O52" t="s">
        <v>285</v>
      </c>
      <c r="P52" t="s">
        <v>285</v>
      </c>
      <c r="Q52">
        <v>1</v>
      </c>
      <c r="W52">
        <v>0</v>
      </c>
      <c r="X52">
        <v>1239831338</v>
      </c>
      <c r="Y52">
        <f t="shared" si="11"/>
        <v>8</v>
      </c>
      <c r="AA52">
        <v>9.1</v>
      </c>
      <c r="AB52">
        <v>0</v>
      </c>
      <c r="AC52">
        <v>0</v>
      </c>
      <c r="AD52">
        <v>0</v>
      </c>
      <c r="AE52">
        <v>9.1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8</v>
      </c>
      <c r="AU52" t="s">
        <v>3</v>
      </c>
      <c r="AV52">
        <v>0</v>
      </c>
      <c r="AW52">
        <v>2</v>
      </c>
      <c r="AX52">
        <v>80890785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ROUND(Y52*Source!I135,9)</f>
        <v>338.32</v>
      </c>
      <c r="CY52">
        <f>AA52</f>
        <v>9.1</v>
      </c>
      <c r="CZ52">
        <f>AE52</f>
        <v>9.1</v>
      </c>
      <c r="DA52">
        <f>AI52</f>
        <v>1</v>
      </c>
      <c r="DB52">
        <f t="shared" si="12"/>
        <v>72.8</v>
      </c>
      <c r="DC52">
        <f t="shared" si="13"/>
        <v>0</v>
      </c>
      <c r="DD52" t="s">
        <v>3</v>
      </c>
      <c r="DE52" t="s">
        <v>3</v>
      </c>
      <c r="DF52">
        <f t="shared" si="7"/>
        <v>3078.71</v>
      </c>
      <c r="DG52">
        <f t="shared" si="8"/>
        <v>0</v>
      </c>
      <c r="DH52">
        <f t="shared" si="9"/>
        <v>0</v>
      </c>
      <c r="DI52">
        <f t="shared" si="10"/>
        <v>0</v>
      </c>
      <c r="DJ52">
        <f>DF52</f>
        <v>3078.71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5">
      <c r="A53">
        <f>ROW(Source!A136)</f>
        <v>136</v>
      </c>
      <c r="B53">
        <v>80890340</v>
      </c>
      <c r="C53">
        <v>80890675</v>
      </c>
      <c r="D53">
        <v>80199986</v>
      </c>
      <c r="E53">
        <v>15514512</v>
      </c>
      <c r="F53">
        <v>1</v>
      </c>
      <c r="G53">
        <v>15514512</v>
      </c>
      <c r="H53">
        <v>1</v>
      </c>
      <c r="I53" t="s">
        <v>267</v>
      </c>
      <c r="J53" t="s">
        <v>3</v>
      </c>
      <c r="K53" t="s">
        <v>268</v>
      </c>
      <c r="L53">
        <v>1191</v>
      </c>
      <c r="N53">
        <v>1013</v>
      </c>
      <c r="O53" t="s">
        <v>269</v>
      </c>
      <c r="P53" t="s">
        <v>269</v>
      </c>
      <c r="Q53">
        <v>1</v>
      </c>
      <c r="W53">
        <v>0</v>
      </c>
      <c r="X53">
        <v>476480486</v>
      </c>
      <c r="Y53">
        <f>(AT53*199)</f>
        <v>9.9500000000000011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0.05</v>
      </c>
      <c r="AU53" t="s">
        <v>205</v>
      </c>
      <c r="AV53">
        <v>1</v>
      </c>
      <c r="AW53">
        <v>2</v>
      </c>
      <c r="AX53">
        <v>80890786</v>
      </c>
      <c r="AY53">
        <v>1</v>
      </c>
      <c r="AZ53">
        <v>2048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U53">
        <f>ROUND(AT53*Source!I136*AH53*AL53,2)</f>
        <v>0</v>
      </c>
      <c r="CV53">
        <f>ROUND(Y53*Source!I136,9)</f>
        <v>1683.1619000000001</v>
      </c>
      <c r="CW53">
        <v>0</v>
      </c>
      <c r="CX53">
        <f>ROUND(Y53*Source!I136,9)</f>
        <v>1683.1619000000001</v>
      </c>
      <c r="CY53">
        <f>AD53</f>
        <v>0</v>
      </c>
      <c r="CZ53">
        <f>AH53</f>
        <v>0</v>
      </c>
      <c r="DA53">
        <f>AL53</f>
        <v>1</v>
      </c>
      <c r="DB53">
        <f>ROUND((ROUND(AT53*CZ53,2)*199),6)</f>
        <v>0</v>
      </c>
      <c r="DC53">
        <f>ROUND((ROUND(AT53*AG53,2)*199),6)</f>
        <v>0</v>
      </c>
      <c r="DD53" t="s">
        <v>3</v>
      </c>
      <c r="DE53" t="s">
        <v>3</v>
      </c>
      <c r="DF53">
        <f t="shared" si="7"/>
        <v>0</v>
      </c>
      <c r="DG53">
        <f t="shared" si="8"/>
        <v>0</v>
      </c>
      <c r="DH53">
        <f t="shared" si="9"/>
        <v>0</v>
      </c>
      <c r="DI53">
        <f t="shared" si="10"/>
        <v>0</v>
      </c>
      <c r="DJ53">
        <f>DI53</f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5">
      <c r="A54">
        <f>ROW(Source!A136)</f>
        <v>136</v>
      </c>
      <c r="B54">
        <v>80890340</v>
      </c>
      <c r="C54">
        <v>80890675</v>
      </c>
      <c r="D54">
        <v>80215861</v>
      </c>
      <c r="E54">
        <v>1</v>
      </c>
      <c r="F54">
        <v>1</v>
      </c>
      <c r="G54">
        <v>15514512</v>
      </c>
      <c r="H54">
        <v>3</v>
      </c>
      <c r="I54" t="s">
        <v>307</v>
      </c>
      <c r="J54" t="s">
        <v>308</v>
      </c>
      <c r="K54" t="s">
        <v>309</v>
      </c>
      <c r="L54">
        <v>1354</v>
      </c>
      <c r="N54">
        <v>1010</v>
      </c>
      <c r="O54" t="s">
        <v>285</v>
      </c>
      <c r="P54" t="s">
        <v>285</v>
      </c>
      <c r="Q54">
        <v>1</v>
      </c>
      <c r="W54">
        <v>0</v>
      </c>
      <c r="X54">
        <v>1239831338</v>
      </c>
      <c r="Y54">
        <f>(AT54*199)</f>
        <v>19.900000000000002</v>
      </c>
      <c r="AA54">
        <v>9.1</v>
      </c>
      <c r="AB54">
        <v>0</v>
      </c>
      <c r="AC54">
        <v>0</v>
      </c>
      <c r="AD54">
        <v>0</v>
      </c>
      <c r="AE54">
        <v>9.1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0.1</v>
      </c>
      <c r="AU54" t="s">
        <v>205</v>
      </c>
      <c r="AV54">
        <v>0</v>
      </c>
      <c r="AW54">
        <v>2</v>
      </c>
      <c r="AX54">
        <v>80890787</v>
      </c>
      <c r="AY54">
        <v>1</v>
      </c>
      <c r="AZ54">
        <v>2048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ROUND(Y54*Source!I136,9)</f>
        <v>3366.3238000000001</v>
      </c>
      <c r="CY54">
        <f>AA54</f>
        <v>9.1</v>
      </c>
      <c r="CZ54">
        <f>AE54</f>
        <v>9.1</v>
      </c>
      <c r="DA54">
        <f>AI54</f>
        <v>1</v>
      </c>
      <c r="DB54">
        <f>ROUND((ROUND(AT54*CZ54,2)*199),6)</f>
        <v>181.09</v>
      </c>
      <c r="DC54">
        <f>ROUND((ROUND(AT54*AG54,2)*199),6)</f>
        <v>0</v>
      </c>
      <c r="DD54" t="s">
        <v>3</v>
      </c>
      <c r="DE54" t="s">
        <v>3</v>
      </c>
      <c r="DF54">
        <f t="shared" si="7"/>
        <v>30633.55</v>
      </c>
      <c r="DG54">
        <f t="shared" si="8"/>
        <v>0</v>
      </c>
      <c r="DH54">
        <f t="shared" si="9"/>
        <v>0</v>
      </c>
      <c r="DI54">
        <f t="shared" si="10"/>
        <v>0</v>
      </c>
      <c r="DJ54">
        <f>DF54</f>
        <v>30633.55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5">
      <c r="A55">
        <f>ROW(Source!A137)</f>
        <v>137</v>
      </c>
      <c r="B55">
        <v>80890340</v>
      </c>
      <c r="C55">
        <v>80890676</v>
      </c>
      <c r="D55">
        <v>80199986</v>
      </c>
      <c r="E55">
        <v>15514512</v>
      </c>
      <c r="F55">
        <v>1</v>
      </c>
      <c r="G55">
        <v>15514512</v>
      </c>
      <c r="H55">
        <v>1</v>
      </c>
      <c r="I55" t="s">
        <v>267</v>
      </c>
      <c r="J55" t="s">
        <v>3</v>
      </c>
      <c r="K55" t="s">
        <v>268</v>
      </c>
      <c r="L55">
        <v>1191</v>
      </c>
      <c r="N55">
        <v>1013</v>
      </c>
      <c r="O55" t="s">
        <v>269</v>
      </c>
      <c r="P55" t="s">
        <v>269</v>
      </c>
      <c r="Q55">
        <v>1</v>
      </c>
      <c r="W55">
        <v>0</v>
      </c>
      <c r="X55">
        <v>476480486</v>
      </c>
      <c r="Y55">
        <f>(AT55*10)</f>
        <v>9.8000000000000007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0.98</v>
      </c>
      <c r="AU55" t="s">
        <v>161</v>
      </c>
      <c r="AV55">
        <v>1</v>
      </c>
      <c r="AW55">
        <v>2</v>
      </c>
      <c r="AX55">
        <v>80890788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U55">
        <f>ROUND(AT55*Source!I137*AH55*AL55,2)</f>
        <v>0</v>
      </c>
      <c r="CV55">
        <f>ROUND(Y55*Source!I137,9)</f>
        <v>8288.9380000000001</v>
      </c>
      <c r="CW55">
        <v>0</v>
      </c>
      <c r="CX55">
        <f>ROUND(Y55*Source!I137,9)</f>
        <v>8288.9380000000001</v>
      </c>
      <c r="CY55">
        <f>AD55</f>
        <v>0</v>
      </c>
      <c r="CZ55">
        <f>AH55</f>
        <v>0</v>
      </c>
      <c r="DA55">
        <f>AL55</f>
        <v>1</v>
      </c>
      <c r="DB55">
        <f>ROUND((ROUND(AT55*CZ55,2)*10),6)</f>
        <v>0</v>
      </c>
      <c r="DC55">
        <f>ROUND((ROUND(AT55*AG55,2)*10),6)</f>
        <v>0</v>
      </c>
      <c r="DD55" t="s">
        <v>3</v>
      </c>
      <c r="DE55" t="s">
        <v>3</v>
      </c>
      <c r="DF55">
        <f t="shared" si="7"/>
        <v>0</v>
      </c>
      <c r="DG55">
        <f t="shared" si="8"/>
        <v>0</v>
      </c>
      <c r="DH55">
        <f t="shared" si="9"/>
        <v>0</v>
      </c>
      <c r="DI55">
        <f t="shared" si="10"/>
        <v>0</v>
      </c>
      <c r="DJ55">
        <f>DI55</f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5">
      <c r="A56">
        <f>ROW(Source!A137)</f>
        <v>137</v>
      </c>
      <c r="B56">
        <v>80890340</v>
      </c>
      <c r="C56">
        <v>80890676</v>
      </c>
      <c r="D56">
        <v>80213130</v>
      </c>
      <c r="E56">
        <v>1</v>
      </c>
      <c r="F56">
        <v>1</v>
      </c>
      <c r="G56">
        <v>15514512</v>
      </c>
      <c r="H56">
        <v>2</v>
      </c>
      <c r="I56" t="s">
        <v>310</v>
      </c>
      <c r="J56" t="s">
        <v>311</v>
      </c>
      <c r="K56" t="s">
        <v>312</v>
      </c>
      <c r="L56">
        <v>1368</v>
      </c>
      <c r="N56">
        <v>1011</v>
      </c>
      <c r="O56" t="s">
        <v>266</v>
      </c>
      <c r="P56" t="s">
        <v>266</v>
      </c>
      <c r="Q56">
        <v>1</v>
      </c>
      <c r="W56">
        <v>0</v>
      </c>
      <c r="X56">
        <v>398049849</v>
      </c>
      <c r="Y56">
        <f>(AT56*10)</f>
        <v>7.5</v>
      </c>
      <c r="AA56">
        <v>0</v>
      </c>
      <c r="AB56">
        <v>32.590000000000003</v>
      </c>
      <c r="AC56">
        <v>3.28</v>
      </c>
      <c r="AD56">
        <v>0</v>
      </c>
      <c r="AE56">
        <v>0</v>
      </c>
      <c r="AF56">
        <v>32.590000000000003</v>
      </c>
      <c r="AG56">
        <v>3.28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0.75</v>
      </c>
      <c r="AU56" t="s">
        <v>161</v>
      </c>
      <c r="AV56">
        <v>0</v>
      </c>
      <c r="AW56">
        <v>2</v>
      </c>
      <c r="AX56">
        <v>80890789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f>ROUND(Y56*Source!I137*DO56,9)</f>
        <v>0</v>
      </c>
      <c r="CX56">
        <f>ROUND(Y56*Source!I137,9)</f>
        <v>6343.5749999999998</v>
      </c>
      <c r="CY56">
        <f>AB56</f>
        <v>32.590000000000003</v>
      </c>
      <c r="CZ56">
        <f>AF56</f>
        <v>32.590000000000003</v>
      </c>
      <c r="DA56">
        <f>AJ56</f>
        <v>1</v>
      </c>
      <c r="DB56">
        <f>ROUND((ROUND(AT56*CZ56,2)*10),6)</f>
        <v>244.4</v>
      </c>
      <c r="DC56">
        <f>ROUND((ROUND(AT56*AG56,2)*10),6)</f>
        <v>24.6</v>
      </c>
      <c r="DD56" t="s">
        <v>3</v>
      </c>
      <c r="DE56" t="s">
        <v>3</v>
      </c>
      <c r="DF56">
        <f t="shared" si="7"/>
        <v>0</v>
      </c>
      <c r="DG56">
        <f t="shared" si="8"/>
        <v>206737.11</v>
      </c>
      <c r="DH56">
        <f t="shared" si="9"/>
        <v>20806.93</v>
      </c>
      <c r="DI56">
        <f t="shared" si="10"/>
        <v>0</v>
      </c>
      <c r="DJ56">
        <f>DG56</f>
        <v>206737.11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5">
      <c r="A57">
        <f>ROW(Source!A138)</f>
        <v>138</v>
      </c>
      <c r="B57">
        <v>80890340</v>
      </c>
      <c r="C57">
        <v>80890677</v>
      </c>
      <c r="D57">
        <v>80199986</v>
      </c>
      <c r="E57">
        <v>15514512</v>
      </c>
      <c r="F57">
        <v>1</v>
      </c>
      <c r="G57">
        <v>15514512</v>
      </c>
      <c r="H57">
        <v>1</v>
      </c>
      <c r="I57" t="s">
        <v>267</v>
      </c>
      <c r="J57" t="s">
        <v>3</v>
      </c>
      <c r="K57" t="s">
        <v>268</v>
      </c>
      <c r="L57">
        <v>1191</v>
      </c>
      <c r="N57">
        <v>1013</v>
      </c>
      <c r="O57" t="s">
        <v>269</v>
      </c>
      <c r="P57" t="s">
        <v>269</v>
      </c>
      <c r="Q57">
        <v>1</v>
      </c>
      <c r="W57">
        <v>0</v>
      </c>
      <c r="X57">
        <v>476480486</v>
      </c>
      <c r="Y57">
        <f>(AT57*10)</f>
        <v>5.6000000000000005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0.56000000000000005</v>
      </c>
      <c r="AU57" t="s">
        <v>161</v>
      </c>
      <c r="AV57">
        <v>1</v>
      </c>
      <c r="AW57">
        <v>2</v>
      </c>
      <c r="AX57">
        <v>80890790</v>
      </c>
      <c r="AY57">
        <v>1</v>
      </c>
      <c r="AZ57">
        <v>2048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U57">
        <f>ROUND(AT57*Source!I138*AH57*AL57,2)</f>
        <v>0</v>
      </c>
      <c r="CV57">
        <f>ROUND(Y57*Source!I138,9)</f>
        <v>2368.2959999999998</v>
      </c>
      <c r="CW57">
        <v>0</v>
      </c>
      <c r="CX57">
        <f>ROUND(Y57*Source!I138,9)</f>
        <v>2368.2959999999998</v>
      </c>
      <c r="CY57">
        <f>AD57</f>
        <v>0</v>
      </c>
      <c r="CZ57">
        <f>AH57</f>
        <v>0</v>
      </c>
      <c r="DA57">
        <f>AL57</f>
        <v>1</v>
      </c>
      <c r="DB57">
        <f>ROUND((ROUND(AT57*CZ57,2)*10),6)</f>
        <v>0</v>
      </c>
      <c r="DC57">
        <f>ROUND((ROUND(AT57*AG57,2)*10),6)</f>
        <v>0</v>
      </c>
      <c r="DD57" t="s">
        <v>3</v>
      </c>
      <c r="DE57" t="s">
        <v>3</v>
      </c>
      <c r="DF57">
        <f t="shared" si="7"/>
        <v>0</v>
      </c>
      <c r="DG57">
        <f t="shared" si="8"/>
        <v>0</v>
      </c>
      <c r="DH57">
        <f t="shared" si="9"/>
        <v>0</v>
      </c>
      <c r="DI57">
        <f t="shared" si="10"/>
        <v>0</v>
      </c>
      <c r="DJ57">
        <f>DI57</f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5">
      <c r="A58">
        <f>ROW(Source!A138)</f>
        <v>138</v>
      </c>
      <c r="B58">
        <v>80890340</v>
      </c>
      <c r="C58">
        <v>80890677</v>
      </c>
      <c r="D58">
        <v>80212805</v>
      </c>
      <c r="E58">
        <v>1</v>
      </c>
      <c r="F58">
        <v>1</v>
      </c>
      <c r="G58">
        <v>15514512</v>
      </c>
      <c r="H58">
        <v>2</v>
      </c>
      <c r="I58" t="s">
        <v>313</v>
      </c>
      <c r="J58" t="s">
        <v>314</v>
      </c>
      <c r="K58" t="s">
        <v>315</v>
      </c>
      <c r="L58">
        <v>1368</v>
      </c>
      <c r="N58">
        <v>1011</v>
      </c>
      <c r="O58" t="s">
        <v>266</v>
      </c>
      <c r="P58" t="s">
        <v>266</v>
      </c>
      <c r="Q58">
        <v>1</v>
      </c>
      <c r="W58">
        <v>0</v>
      </c>
      <c r="X58">
        <v>-1652508930</v>
      </c>
      <c r="Y58">
        <f>(AT58*10)</f>
        <v>3</v>
      </c>
      <c r="AA58">
        <v>0</v>
      </c>
      <c r="AB58">
        <v>2997.56</v>
      </c>
      <c r="AC58">
        <v>1034.8599999999999</v>
      </c>
      <c r="AD58">
        <v>0</v>
      </c>
      <c r="AE58">
        <v>0</v>
      </c>
      <c r="AF58">
        <v>2997.56</v>
      </c>
      <c r="AG58">
        <v>1034.8599999999999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0.3</v>
      </c>
      <c r="AU58" t="s">
        <v>161</v>
      </c>
      <c r="AV58">
        <v>0</v>
      </c>
      <c r="AW58">
        <v>2</v>
      </c>
      <c r="AX58">
        <v>80890791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f>ROUND(Y58*Source!I138*DO58,9)</f>
        <v>0</v>
      </c>
      <c r="CX58">
        <f>ROUND(Y58*Source!I138,9)</f>
        <v>1268.73</v>
      </c>
      <c r="CY58">
        <f>AB58</f>
        <v>2997.56</v>
      </c>
      <c r="CZ58">
        <f>AF58</f>
        <v>2997.56</v>
      </c>
      <c r="DA58">
        <f>AJ58</f>
        <v>1</v>
      </c>
      <c r="DB58">
        <f>ROUND((ROUND(AT58*CZ58,2)*10),6)</f>
        <v>8992.7000000000007</v>
      </c>
      <c r="DC58">
        <f>ROUND((ROUND(AT58*AG58,2)*10),6)</f>
        <v>3104.6</v>
      </c>
      <c r="DD58" t="s">
        <v>3</v>
      </c>
      <c r="DE58" t="s">
        <v>3</v>
      </c>
      <c r="DF58">
        <f t="shared" si="7"/>
        <v>0</v>
      </c>
      <c r="DG58">
        <f t="shared" si="8"/>
        <v>3803094.3</v>
      </c>
      <c r="DH58">
        <f t="shared" si="9"/>
        <v>1312957.93</v>
      </c>
      <c r="DI58">
        <f t="shared" si="10"/>
        <v>0</v>
      </c>
      <c r="DJ58">
        <f>DG58</f>
        <v>3803094.3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5">
      <c r="A59">
        <f>ROW(Source!A138)</f>
        <v>138</v>
      </c>
      <c r="B59">
        <v>80890340</v>
      </c>
      <c r="C59">
        <v>80890677</v>
      </c>
      <c r="D59">
        <v>80215470</v>
      </c>
      <c r="E59">
        <v>1</v>
      </c>
      <c r="F59">
        <v>1</v>
      </c>
      <c r="G59">
        <v>15514512</v>
      </c>
      <c r="H59">
        <v>3</v>
      </c>
      <c r="I59" t="s">
        <v>37</v>
      </c>
      <c r="J59" t="s">
        <v>40</v>
      </c>
      <c r="K59" t="s">
        <v>38</v>
      </c>
      <c r="L59">
        <v>1339</v>
      </c>
      <c r="N59">
        <v>1007</v>
      </c>
      <c r="O59" t="s">
        <v>39</v>
      </c>
      <c r="P59" t="s">
        <v>39</v>
      </c>
      <c r="Q59">
        <v>1</v>
      </c>
      <c r="W59">
        <v>1</v>
      </c>
      <c r="X59">
        <v>2112060389</v>
      </c>
      <c r="Y59">
        <f>(AT59*10)</f>
        <v>-10</v>
      </c>
      <c r="AA59">
        <v>54.81</v>
      </c>
      <c r="AB59">
        <v>0</v>
      </c>
      <c r="AC59">
        <v>0</v>
      </c>
      <c r="AD59">
        <v>0</v>
      </c>
      <c r="AE59">
        <v>54.81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-1</v>
      </c>
      <c r="AU59" t="s">
        <v>161</v>
      </c>
      <c r="AV59">
        <v>0</v>
      </c>
      <c r="AW59">
        <v>2</v>
      </c>
      <c r="AX59">
        <v>80890792</v>
      </c>
      <c r="AY59">
        <v>1</v>
      </c>
      <c r="AZ59">
        <v>6144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ROUND(Y59*Source!I138,9)</f>
        <v>-4229.1000000000004</v>
      </c>
      <c r="CY59">
        <f>AA59</f>
        <v>54.81</v>
      </c>
      <c r="CZ59">
        <f>AE59</f>
        <v>54.81</v>
      </c>
      <c r="DA59">
        <f>AI59</f>
        <v>1</v>
      </c>
      <c r="DB59">
        <f>ROUND((ROUND(AT59*CZ59,2)*10),6)</f>
        <v>-548.1</v>
      </c>
      <c r="DC59">
        <f>ROUND((ROUND(AT59*AG59,2)*10),6)</f>
        <v>0</v>
      </c>
      <c r="DD59" t="s">
        <v>3</v>
      </c>
      <c r="DE59" t="s">
        <v>3</v>
      </c>
      <c r="DF59">
        <f t="shared" si="7"/>
        <v>-231796.97</v>
      </c>
      <c r="DG59">
        <f t="shared" si="8"/>
        <v>0</v>
      </c>
      <c r="DH59">
        <f t="shared" si="9"/>
        <v>0</v>
      </c>
      <c r="DI59">
        <f t="shared" si="10"/>
        <v>0</v>
      </c>
      <c r="DJ59">
        <f>DF59</f>
        <v>-231796.97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5">
      <c r="A60">
        <f>ROW(Source!A140)</f>
        <v>140</v>
      </c>
      <c r="B60">
        <v>80890340</v>
      </c>
      <c r="C60">
        <v>80890678</v>
      </c>
      <c r="D60">
        <v>80199986</v>
      </c>
      <c r="E60">
        <v>15514512</v>
      </c>
      <c r="F60">
        <v>1</v>
      </c>
      <c r="G60">
        <v>15514512</v>
      </c>
      <c r="H60">
        <v>1</v>
      </c>
      <c r="I60" t="s">
        <v>267</v>
      </c>
      <c r="J60" t="s">
        <v>3</v>
      </c>
      <c r="K60" t="s">
        <v>268</v>
      </c>
      <c r="L60">
        <v>1191</v>
      </c>
      <c r="N60">
        <v>1013</v>
      </c>
      <c r="O60" t="s">
        <v>269</v>
      </c>
      <c r="P60" t="s">
        <v>269</v>
      </c>
      <c r="Q60">
        <v>1</v>
      </c>
      <c r="W60">
        <v>0</v>
      </c>
      <c r="X60">
        <v>476480486</v>
      </c>
      <c r="Y60">
        <f>AT60</f>
        <v>0.7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0.7</v>
      </c>
      <c r="AU60" t="s">
        <v>3</v>
      </c>
      <c r="AV60">
        <v>1</v>
      </c>
      <c r="AW60">
        <v>2</v>
      </c>
      <c r="AX60">
        <v>80890794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U60">
        <f>ROUND(AT60*Source!I140*AH60*AL60,2)</f>
        <v>0</v>
      </c>
      <c r="CV60">
        <f>ROUND(Y60*Source!I140,9)</f>
        <v>296.0335</v>
      </c>
      <c r="CW60">
        <v>0</v>
      </c>
      <c r="CX60">
        <f>ROUND(Y60*Source!I140,9)</f>
        <v>296.0335</v>
      </c>
      <c r="CY60">
        <f>AD60</f>
        <v>0</v>
      </c>
      <c r="CZ60">
        <f>AH60</f>
        <v>0</v>
      </c>
      <c r="DA60">
        <f>AL60</f>
        <v>1</v>
      </c>
      <c r="DB60">
        <f>ROUND(ROUND(AT60*CZ60,2),6)</f>
        <v>0</v>
      </c>
      <c r="DC60">
        <f>ROUND(ROUND(AT60*AG60,2),6)</f>
        <v>0</v>
      </c>
      <c r="DD60" t="s">
        <v>3</v>
      </c>
      <c r="DE60" t="s">
        <v>3</v>
      </c>
      <c r="DF60">
        <f t="shared" si="7"/>
        <v>0</v>
      </c>
      <c r="DG60">
        <f t="shared" si="8"/>
        <v>0</v>
      </c>
      <c r="DH60">
        <f t="shared" si="9"/>
        <v>0</v>
      </c>
      <c r="DI60">
        <f t="shared" si="10"/>
        <v>0</v>
      </c>
      <c r="DJ60">
        <f>DI60</f>
        <v>0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5">
      <c r="A61">
        <f>ROW(Source!A140)</f>
        <v>140</v>
      </c>
      <c r="B61">
        <v>80890340</v>
      </c>
      <c r="C61">
        <v>80890678</v>
      </c>
      <c r="D61">
        <v>80217208</v>
      </c>
      <c r="E61">
        <v>1</v>
      </c>
      <c r="F61">
        <v>1</v>
      </c>
      <c r="G61">
        <v>15514512</v>
      </c>
      <c r="H61">
        <v>3</v>
      </c>
      <c r="I61" t="s">
        <v>218</v>
      </c>
      <c r="J61" t="s">
        <v>221</v>
      </c>
      <c r="K61" t="s">
        <v>219</v>
      </c>
      <c r="L61">
        <v>1346</v>
      </c>
      <c r="N61">
        <v>1009</v>
      </c>
      <c r="O61" t="s">
        <v>220</v>
      </c>
      <c r="P61" t="s">
        <v>220</v>
      </c>
      <c r="Q61">
        <v>1</v>
      </c>
      <c r="W61">
        <v>0</v>
      </c>
      <c r="X61">
        <v>-606801753</v>
      </c>
      <c r="Y61">
        <f>AT61</f>
        <v>5</v>
      </c>
      <c r="AA61">
        <v>109.62</v>
      </c>
      <c r="AB61">
        <v>0</v>
      </c>
      <c r="AC61">
        <v>0</v>
      </c>
      <c r="AD61">
        <v>0</v>
      </c>
      <c r="AE61">
        <v>109.62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0</v>
      </c>
      <c r="AN61">
        <v>0</v>
      </c>
      <c r="AO61">
        <v>0</v>
      </c>
      <c r="AP61">
        <v>1</v>
      </c>
      <c r="AQ61">
        <v>0</v>
      </c>
      <c r="AR61">
        <v>0</v>
      </c>
      <c r="AS61" t="s">
        <v>3</v>
      </c>
      <c r="AT61">
        <v>5</v>
      </c>
      <c r="AU61" t="s">
        <v>3</v>
      </c>
      <c r="AV61">
        <v>0</v>
      </c>
      <c r="AW61">
        <v>1</v>
      </c>
      <c r="AX61">
        <v>-1</v>
      </c>
      <c r="AY61">
        <v>0</v>
      </c>
      <c r="AZ61">
        <v>0</v>
      </c>
      <c r="BA61" t="s">
        <v>3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ROUND(Y61*Source!I140,9)</f>
        <v>2114.5250000000001</v>
      </c>
      <c r="CY61">
        <f>AA61</f>
        <v>109.62</v>
      </c>
      <c r="CZ61">
        <f>AE61</f>
        <v>109.62</v>
      </c>
      <c r="DA61">
        <f>AI61</f>
        <v>1</v>
      </c>
      <c r="DB61">
        <f>ROUND(ROUND(AT61*CZ61,2),6)</f>
        <v>548.1</v>
      </c>
      <c r="DC61">
        <f>ROUND(ROUND(AT61*AG61,2),6)</f>
        <v>0</v>
      </c>
      <c r="DD61" t="s">
        <v>3</v>
      </c>
      <c r="DE61" t="s">
        <v>3</v>
      </c>
      <c r="DF61">
        <f t="shared" si="7"/>
        <v>231794.23</v>
      </c>
      <c r="DG61">
        <f t="shared" si="8"/>
        <v>0</v>
      </c>
      <c r="DH61">
        <f t="shared" si="9"/>
        <v>0</v>
      </c>
      <c r="DI61">
        <f t="shared" si="10"/>
        <v>0</v>
      </c>
      <c r="DJ61">
        <f>DF61</f>
        <v>231794.23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5">
      <c r="A62">
        <f>ROW(Source!A142)</f>
        <v>142</v>
      </c>
      <c r="B62">
        <v>80890340</v>
      </c>
      <c r="C62">
        <v>80890682</v>
      </c>
      <c r="D62">
        <v>80199986</v>
      </c>
      <c r="E62">
        <v>15514512</v>
      </c>
      <c r="F62">
        <v>1</v>
      </c>
      <c r="G62">
        <v>15514512</v>
      </c>
      <c r="H62">
        <v>1</v>
      </c>
      <c r="I62" t="s">
        <v>267</v>
      </c>
      <c r="J62" t="s">
        <v>3</v>
      </c>
      <c r="K62" t="s">
        <v>268</v>
      </c>
      <c r="L62">
        <v>1191</v>
      </c>
      <c r="N62">
        <v>1013</v>
      </c>
      <c r="O62" t="s">
        <v>269</v>
      </c>
      <c r="P62" t="s">
        <v>269</v>
      </c>
      <c r="Q62">
        <v>1</v>
      </c>
      <c r="W62">
        <v>0</v>
      </c>
      <c r="X62">
        <v>476480486</v>
      </c>
      <c r="Y62">
        <f>AT62</f>
        <v>1.73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1.73</v>
      </c>
      <c r="AU62" t="s">
        <v>3</v>
      </c>
      <c r="AV62">
        <v>1</v>
      </c>
      <c r="AW62">
        <v>2</v>
      </c>
      <c r="AX62">
        <v>80890801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U62">
        <f>ROUND(AT62*Source!I142*AH62*AL62,2)</f>
        <v>0</v>
      </c>
      <c r="CV62">
        <f>ROUND(Y62*Source!I142,9)</f>
        <v>12.11</v>
      </c>
      <c r="CW62">
        <v>0</v>
      </c>
      <c r="CX62">
        <f>ROUND(Y62*Source!I142,9)</f>
        <v>12.11</v>
      </c>
      <c r="CY62">
        <f>AD62</f>
        <v>0</v>
      </c>
      <c r="CZ62">
        <f>AH62</f>
        <v>0</v>
      </c>
      <c r="DA62">
        <f>AL62</f>
        <v>1</v>
      </c>
      <c r="DB62">
        <f>ROUND(ROUND(AT62*CZ62,2),6)</f>
        <v>0</v>
      </c>
      <c r="DC62">
        <f>ROUND(ROUND(AT62*AG62,2),6)</f>
        <v>0</v>
      </c>
      <c r="DD62" t="s">
        <v>3</v>
      </c>
      <c r="DE62" t="s">
        <v>3</v>
      </c>
      <c r="DF62">
        <f t="shared" si="7"/>
        <v>0</v>
      </c>
      <c r="DG62">
        <f t="shared" si="8"/>
        <v>0</v>
      </c>
      <c r="DH62">
        <f t="shared" si="9"/>
        <v>0</v>
      </c>
      <c r="DI62">
        <f t="shared" si="10"/>
        <v>0</v>
      </c>
      <c r="DJ62">
        <f>DI62</f>
        <v>0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5">
      <c r="A63">
        <f>ROW(Source!A143)</f>
        <v>143</v>
      </c>
      <c r="B63">
        <v>80890340</v>
      </c>
      <c r="C63">
        <v>80890884</v>
      </c>
      <c r="D63">
        <v>80199986</v>
      </c>
      <c r="E63">
        <v>15514512</v>
      </c>
      <c r="F63">
        <v>1</v>
      </c>
      <c r="G63">
        <v>15514512</v>
      </c>
      <c r="H63">
        <v>1</v>
      </c>
      <c r="I63" t="s">
        <v>267</v>
      </c>
      <c r="J63" t="s">
        <v>3</v>
      </c>
      <c r="K63" t="s">
        <v>268</v>
      </c>
      <c r="L63">
        <v>1191</v>
      </c>
      <c r="N63">
        <v>1013</v>
      </c>
      <c r="O63" t="s">
        <v>269</v>
      </c>
      <c r="P63" t="s">
        <v>269</v>
      </c>
      <c r="Q63">
        <v>1</v>
      </c>
      <c r="W63">
        <v>0</v>
      </c>
      <c r="X63">
        <v>476480486</v>
      </c>
      <c r="Y63">
        <f t="shared" ref="Y63:Y68" si="14">(AT63*20)</f>
        <v>11.200000000000001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0.56000000000000005</v>
      </c>
      <c r="AU63" t="s">
        <v>66</v>
      </c>
      <c r="AV63">
        <v>1</v>
      </c>
      <c r="AW63">
        <v>2</v>
      </c>
      <c r="AX63">
        <v>80890888</v>
      </c>
      <c r="AY63">
        <v>1</v>
      </c>
      <c r="AZ63">
        <v>2048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U63">
        <f>ROUND(AT63*Source!I143*AH63*AL63,2)</f>
        <v>0</v>
      </c>
      <c r="CV63">
        <f>ROUND(Y63*Source!I143,9)</f>
        <v>156.80000000000001</v>
      </c>
      <c r="CW63">
        <v>0</v>
      </c>
      <c r="CX63">
        <f>ROUND(Y63*Source!I143,9)</f>
        <v>156.80000000000001</v>
      </c>
      <c r="CY63">
        <f>AD63</f>
        <v>0</v>
      </c>
      <c r="CZ63">
        <f>AH63</f>
        <v>0</v>
      </c>
      <c r="DA63">
        <f>AL63</f>
        <v>1</v>
      </c>
      <c r="DB63">
        <f t="shared" ref="DB63:DB68" si="15">ROUND((ROUND(AT63*CZ63,2)*20),6)</f>
        <v>0</v>
      </c>
      <c r="DC63">
        <f t="shared" ref="DC63:DC68" si="16">ROUND((ROUND(AT63*AG63,2)*20),6)</f>
        <v>0</v>
      </c>
      <c r="DD63" t="s">
        <v>3</v>
      </c>
      <c r="DE63" t="s">
        <v>3</v>
      </c>
      <c r="DF63">
        <f t="shared" si="7"/>
        <v>0</v>
      </c>
      <c r="DG63">
        <f t="shared" si="8"/>
        <v>0</v>
      </c>
      <c r="DH63">
        <f t="shared" si="9"/>
        <v>0</v>
      </c>
      <c r="DI63">
        <f t="shared" si="10"/>
        <v>0</v>
      </c>
      <c r="DJ63">
        <f>DI63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5">
      <c r="A64">
        <f>ROW(Source!A143)</f>
        <v>143</v>
      </c>
      <c r="B64">
        <v>80890340</v>
      </c>
      <c r="C64">
        <v>80890884</v>
      </c>
      <c r="D64">
        <v>80212805</v>
      </c>
      <c r="E64">
        <v>1</v>
      </c>
      <c r="F64">
        <v>1</v>
      </c>
      <c r="G64">
        <v>15514512</v>
      </c>
      <c r="H64">
        <v>2</v>
      </c>
      <c r="I64" t="s">
        <v>313</v>
      </c>
      <c r="J64" t="s">
        <v>314</v>
      </c>
      <c r="K64" t="s">
        <v>315</v>
      </c>
      <c r="L64">
        <v>1368</v>
      </c>
      <c r="N64">
        <v>1011</v>
      </c>
      <c r="O64" t="s">
        <v>266</v>
      </c>
      <c r="P64" t="s">
        <v>266</v>
      </c>
      <c r="Q64">
        <v>1</v>
      </c>
      <c r="W64">
        <v>0</v>
      </c>
      <c r="X64">
        <v>-1652508930</v>
      </c>
      <c r="Y64">
        <f t="shared" si="14"/>
        <v>6</v>
      </c>
      <c r="AA64">
        <v>0</v>
      </c>
      <c r="AB64">
        <v>2997.56</v>
      </c>
      <c r="AC64">
        <v>1034.8599999999999</v>
      </c>
      <c r="AD64">
        <v>0</v>
      </c>
      <c r="AE64">
        <v>0</v>
      </c>
      <c r="AF64">
        <v>2997.56</v>
      </c>
      <c r="AG64">
        <v>1034.8599999999999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0.3</v>
      </c>
      <c r="AU64" t="s">
        <v>66</v>
      </c>
      <c r="AV64">
        <v>0</v>
      </c>
      <c r="AW64">
        <v>2</v>
      </c>
      <c r="AX64">
        <v>80890889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f>ROUND(Y64*Source!I143*DO64,9)</f>
        <v>0</v>
      </c>
      <c r="CX64">
        <f>ROUND(Y64*Source!I143,9)</f>
        <v>84</v>
      </c>
      <c r="CY64">
        <f>AB64</f>
        <v>2997.56</v>
      </c>
      <c r="CZ64">
        <f>AF64</f>
        <v>2997.56</v>
      </c>
      <c r="DA64">
        <f>AJ64</f>
        <v>1</v>
      </c>
      <c r="DB64">
        <f t="shared" si="15"/>
        <v>17985.400000000001</v>
      </c>
      <c r="DC64">
        <f t="shared" si="16"/>
        <v>6209.2</v>
      </c>
      <c r="DD64" t="s">
        <v>3</v>
      </c>
      <c r="DE64" t="s">
        <v>3</v>
      </c>
      <c r="DF64">
        <f t="shared" si="7"/>
        <v>0</v>
      </c>
      <c r="DG64">
        <f t="shared" si="8"/>
        <v>251795.04</v>
      </c>
      <c r="DH64">
        <f t="shared" si="9"/>
        <v>86928.24</v>
      </c>
      <c r="DI64">
        <f t="shared" si="10"/>
        <v>0</v>
      </c>
      <c r="DJ64">
        <f>DG64</f>
        <v>251795.04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5">
      <c r="A65">
        <f>ROW(Source!A143)</f>
        <v>143</v>
      </c>
      <c r="B65">
        <v>80890340</v>
      </c>
      <c r="C65">
        <v>80890884</v>
      </c>
      <c r="D65">
        <v>80215470</v>
      </c>
      <c r="E65">
        <v>1</v>
      </c>
      <c r="F65">
        <v>1</v>
      </c>
      <c r="G65">
        <v>15514512</v>
      </c>
      <c r="H65">
        <v>3</v>
      </c>
      <c r="I65" t="s">
        <v>37</v>
      </c>
      <c r="J65" t="s">
        <v>40</v>
      </c>
      <c r="K65" t="s">
        <v>38</v>
      </c>
      <c r="L65">
        <v>1339</v>
      </c>
      <c r="N65">
        <v>1007</v>
      </c>
      <c r="O65" t="s">
        <v>39</v>
      </c>
      <c r="P65" t="s">
        <v>39</v>
      </c>
      <c r="Q65">
        <v>1</v>
      </c>
      <c r="W65">
        <v>1</v>
      </c>
      <c r="X65">
        <v>2112060389</v>
      </c>
      <c r="Y65">
        <f t="shared" si="14"/>
        <v>-20</v>
      </c>
      <c r="AA65">
        <v>54.81</v>
      </c>
      <c r="AB65">
        <v>0</v>
      </c>
      <c r="AC65">
        <v>0</v>
      </c>
      <c r="AD65">
        <v>0</v>
      </c>
      <c r="AE65">
        <v>54.81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-1</v>
      </c>
      <c r="AU65" t="s">
        <v>66</v>
      </c>
      <c r="AV65">
        <v>0</v>
      </c>
      <c r="AW65">
        <v>2</v>
      </c>
      <c r="AX65">
        <v>80890890</v>
      </c>
      <c r="AY65">
        <v>1</v>
      </c>
      <c r="AZ65">
        <v>6144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ROUND(Y65*Source!I143,9)</f>
        <v>-280</v>
      </c>
      <c r="CY65">
        <f>AA65</f>
        <v>54.81</v>
      </c>
      <c r="CZ65">
        <f>AE65</f>
        <v>54.81</v>
      </c>
      <c r="DA65">
        <f>AI65</f>
        <v>1</v>
      </c>
      <c r="DB65">
        <f t="shared" si="15"/>
        <v>-1096.2</v>
      </c>
      <c r="DC65">
        <f t="shared" si="16"/>
        <v>0</v>
      </c>
      <c r="DD65" t="s">
        <v>3</v>
      </c>
      <c r="DE65" t="s">
        <v>3</v>
      </c>
      <c r="DF65">
        <f t="shared" ref="DF65:DF77" si="17">ROUND(ROUND(AE65,2)*CX65,2)</f>
        <v>-15346.8</v>
      </c>
      <c r="DG65">
        <f t="shared" ref="DG65:DG77" si="18">ROUND(ROUND(AF65,2)*CX65,2)</f>
        <v>0</v>
      </c>
      <c r="DH65">
        <f t="shared" ref="DH65:DH77" si="19">ROUND(ROUND(AG65,2)*CX65,2)</f>
        <v>0</v>
      </c>
      <c r="DI65">
        <f t="shared" ref="DI65:DI77" si="20">ROUND(ROUND(AH65,2)*CX65,2)</f>
        <v>0</v>
      </c>
      <c r="DJ65">
        <f>DF65</f>
        <v>-15346.8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5">
      <c r="A66">
        <f>ROW(Source!A145)</f>
        <v>145</v>
      </c>
      <c r="B66">
        <v>80890340</v>
      </c>
      <c r="C66">
        <v>80890684</v>
      </c>
      <c r="D66">
        <v>80199986</v>
      </c>
      <c r="E66">
        <v>15514512</v>
      </c>
      <c r="F66">
        <v>1</v>
      </c>
      <c r="G66">
        <v>15514512</v>
      </c>
      <c r="H66">
        <v>1</v>
      </c>
      <c r="I66" t="s">
        <v>267</v>
      </c>
      <c r="J66" t="s">
        <v>3</v>
      </c>
      <c r="K66" t="s">
        <v>268</v>
      </c>
      <c r="L66">
        <v>1191</v>
      </c>
      <c r="N66">
        <v>1013</v>
      </c>
      <c r="O66" t="s">
        <v>269</v>
      </c>
      <c r="P66" t="s">
        <v>269</v>
      </c>
      <c r="Q66">
        <v>1</v>
      </c>
      <c r="W66">
        <v>0</v>
      </c>
      <c r="X66">
        <v>476480486</v>
      </c>
      <c r="Y66">
        <f t="shared" si="14"/>
        <v>11.200000000000001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0.56000000000000005</v>
      </c>
      <c r="AU66" t="s">
        <v>66</v>
      </c>
      <c r="AV66">
        <v>1</v>
      </c>
      <c r="AW66">
        <v>2</v>
      </c>
      <c r="AX66">
        <v>80890806</v>
      </c>
      <c r="AY66">
        <v>1</v>
      </c>
      <c r="AZ66">
        <v>2048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U66">
        <f>ROUND(AT66*Source!I145*AH66*AL66,2)</f>
        <v>0</v>
      </c>
      <c r="CV66">
        <f>ROUND(Y66*Source!I145,9)</f>
        <v>196.56</v>
      </c>
      <c r="CW66">
        <v>0</v>
      </c>
      <c r="CX66">
        <f>ROUND(Y66*Source!I145,9)</f>
        <v>196.56</v>
      </c>
      <c r="CY66">
        <f>AD66</f>
        <v>0</v>
      </c>
      <c r="CZ66">
        <f>AH66</f>
        <v>0</v>
      </c>
      <c r="DA66">
        <f>AL66</f>
        <v>1</v>
      </c>
      <c r="DB66">
        <f t="shared" si="15"/>
        <v>0</v>
      </c>
      <c r="DC66">
        <f t="shared" si="16"/>
        <v>0</v>
      </c>
      <c r="DD66" t="s">
        <v>3</v>
      </c>
      <c r="DE66" t="s">
        <v>3</v>
      </c>
      <c r="DF66">
        <f t="shared" si="17"/>
        <v>0</v>
      </c>
      <c r="DG66">
        <f t="shared" si="18"/>
        <v>0</v>
      </c>
      <c r="DH66">
        <f t="shared" si="19"/>
        <v>0</v>
      </c>
      <c r="DI66">
        <f t="shared" si="20"/>
        <v>0</v>
      </c>
      <c r="DJ66">
        <f>DI66</f>
        <v>0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5">
      <c r="A67">
        <f>ROW(Source!A145)</f>
        <v>145</v>
      </c>
      <c r="B67">
        <v>80890340</v>
      </c>
      <c r="C67">
        <v>80890684</v>
      </c>
      <c r="D67">
        <v>80212805</v>
      </c>
      <c r="E67">
        <v>1</v>
      </c>
      <c r="F67">
        <v>1</v>
      </c>
      <c r="G67">
        <v>15514512</v>
      </c>
      <c r="H67">
        <v>2</v>
      </c>
      <c r="I67" t="s">
        <v>313</v>
      </c>
      <c r="J67" t="s">
        <v>314</v>
      </c>
      <c r="K67" t="s">
        <v>315</v>
      </c>
      <c r="L67">
        <v>1368</v>
      </c>
      <c r="N67">
        <v>1011</v>
      </c>
      <c r="O67" t="s">
        <v>266</v>
      </c>
      <c r="P67" t="s">
        <v>266</v>
      </c>
      <c r="Q67">
        <v>1</v>
      </c>
      <c r="W67">
        <v>0</v>
      </c>
      <c r="X67">
        <v>-1652508930</v>
      </c>
      <c r="Y67">
        <f t="shared" si="14"/>
        <v>6</v>
      </c>
      <c r="AA67">
        <v>0</v>
      </c>
      <c r="AB67">
        <v>2997.56</v>
      </c>
      <c r="AC67">
        <v>1034.8599999999999</v>
      </c>
      <c r="AD67">
        <v>0</v>
      </c>
      <c r="AE67">
        <v>0</v>
      </c>
      <c r="AF67">
        <v>2997.56</v>
      </c>
      <c r="AG67">
        <v>1034.8599999999999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0.3</v>
      </c>
      <c r="AU67" t="s">
        <v>66</v>
      </c>
      <c r="AV67">
        <v>0</v>
      </c>
      <c r="AW67">
        <v>2</v>
      </c>
      <c r="AX67">
        <v>80890807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f>ROUND(Y67*Source!I145*DO67,9)</f>
        <v>0</v>
      </c>
      <c r="CX67">
        <f>ROUND(Y67*Source!I145,9)</f>
        <v>105.3</v>
      </c>
      <c r="CY67">
        <f>AB67</f>
        <v>2997.56</v>
      </c>
      <c r="CZ67">
        <f>AF67</f>
        <v>2997.56</v>
      </c>
      <c r="DA67">
        <f>AJ67</f>
        <v>1</v>
      </c>
      <c r="DB67">
        <f t="shared" si="15"/>
        <v>17985.400000000001</v>
      </c>
      <c r="DC67">
        <f t="shared" si="16"/>
        <v>6209.2</v>
      </c>
      <c r="DD67" t="s">
        <v>3</v>
      </c>
      <c r="DE67" t="s">
        <v>3</v>
      </c>
      <c r="DF67">
        <f t="shared" si="17"/>
        <v>0</v>
      </c>
      <c r="DG67">
        <f t="shared" si="18"/>
        <v>315643.07</v>
      </c>
      <c r="DH67">
        <f t="shared" si="19"/>
        <v>108970.76</v>
      </c>
      <c r="DI67">
        <f t="shared" si="20"/>
        <v>0</v>
      </c>
      <c r="DJ67">
        <f>DG67</f>
        <v>315643.07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5">
      <c r="A68">
        <f>ROW(Source!A145)</f>
        <v>145</v>
      </c>
      <c r="B68">
        <v>80890340</v>
      </c>
      <c r="C68">
        <v>80890684</v>
      </c>
      <c r="D68">
        <v>80215470</v>
      </c>
      <c r="E68">
        <v>1</v>
      </c>
      <c r="F68">
        <v>1</v>
      </c>
      <c r="G68">
        <v>15514512</v>
      </c>
      <c r="H68">
        <v>3</v>
      </c>
      <c r="I68" t="s">
        <v>37</v>
      </c>
      <c r="J68" t="s">
        <v>40</v>
      </c>
      <c r="K68" t="s">
        <v>38</v>
      </c>
      <c r="L68">
        <v>1339</v>
      </c>
      <c r="N68">
        <v>1007</v>
      </c>
      <c r="O68" t="s">
        <v>39</v>
      </c>
      <c r="P68" t="s">
        <v>39</v>
      </c>
      <c r="Q68">
        <v>1</v>
      </c>
      <c r="W68">
        <v>1</v>
      </c>
      <c r="X68">
        <v>2112060389</v>
      </c>
      <c r="Y68">
        <f t="shared" si="14"/>
        <v>-20</v>
      </c>
      <c r="AA68">
        <v>54.81</v>
      </c>
      <c r="AB68">
        <v>0</v>
      </c>
      <c r="AC68">
        <v>0</v>
      </c>
      <c r="AD68">
        <v>0</v>
      </c>
      <c r="AE68">
        <v>54.81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-1</v>
      </c>
      <c r="AU68" t="s">
        <v>66</v>
      </c>
      <c r="AV68">
        <v>0</v>
      </c>
      <c r="AW68">
        <v>2</v>
      </c>
      <c r="AX68">
        <v>80890808</v>
      </c>
      <c r="AY68">
        <v>1</v>
      </c>
      <c r="AZ68">
        <v>6144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ROUND(Y68*Source!I145,9)</f>
        <v>-351</v>
      </c>
      <c r="CY68">
        <f>AA68</f>
        <v>54.81</v>
      </c>
      <c r="CZ68">
        <f>AE68</f>
        <v>54.81</v>
      </c>
      <c r="DA68">
        <f>AI68</f>
        <v>1</v>
      </c>
      <c r="DB68">
        <f t="shared" si="15"/>
        <v>-1096.2</v>
      </c>
      <c r="DC68">
        <f t="shared" si="16"/>
        <v>0</v>
      </c>
      <c r="DD68" t="s">
        <v>3</v>
      </c>
      <c r="DE68" t="s">
        <v>3</v>
      </c>
      <c r="DF68">
        <f t="shared" si="17"/>
        <v>-19238.310000000001</v>
      </c>
      <c r="DG68">
        <f t="shared" si="18"/>
        <v>0</v>
      </c>
      <c r="DH68">
        <f t="shared" si="19"/>
        <v>0</v>
      </c>
      <c r="DI68">
        <f t="shared" si="20"/>
        <v>0</v>
      </c>
      <c r="DJ68">
        <f>DF68</f>
        <v>-19238.310000000001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5">
      <c r="A69">
        <f>ROW(Source!A147)</f>
        <v>147</v>
      </c>
      <c r="B69">
        <v>80890340</v>
      </c>
      <c r="C69">
        <v>80890685</v>
      </c>
      <c r="D69">
        <v>80199986</v>
      </c>
      <c r="E69">
        <v>15514512</v>
      </c>
      <c r="F69">
        <v>1</v>
      </c>
      <c r="G69">
        <v>15514512</v>
      </c>
      <c r="H69">
        <v>1</v>
      </c>
      <c r="I69" t="s">
        <v>267</v>
      </c>
      <c r="J69" t="s">
        <v>3</v>
      </c>
      <c r="K69" t="s">
        <v>268</v>
      </c>
      <c r="L69">
        <v>1191</v>
      </c>
      <c r="N69">
        <v>1013</v>
      </c>
      <c r="O69" t="s">
        <v>269</v>
      </c>
      <c r="P69" t="s">
        <v>269</v>
      </c>
      <c r="Q69">
        <v>1</v>
      </c>
      <c r="W69">
        <v>0</v>
      </c>
      <c r="X69">
        <v>476480486</v>
      </c>
      <c r="Y69">
        <f>(AT69*6)</f>
        <v>39.54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6.59</v>
      </c>
      <c r="AU69" t="s">
        <v>237</v>
      </c>
      <c r="AV69">
        <v>1</v>
      </c>
      <c r="AW69">
        <v>2</v>
      </c>
      <c r="AX69">
        <v>80890810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U69">
        <f>ROUND(AT69*Source!I147*AH69*AL69,2)</f>
        <v>0</v>
      </c>
      <c r="CV69">
        <f>ROUND(Y69*Source!I147,9)</f>
        <v>1387.854</v>
      </c>
      <c r="CW69">
        <v>0</v>
      </c>
      <c r="CX69">
        <f>ROUND(Y69*Source!I147,9)</f>
        <v>1387.854</v>
      </c>
      <c r="CY69">
        <f>AD69</f>
        <v>0</v>
      </c>
      <c r="CZ69">
        <f>AH69</f>
        <v>0</v>
      </c>
      <c r="DA69">
        <f>AL69</f>
        <v>1</v>
      </c>
      <c r="DB69">
        <f>ROUND((ROUND(AT69*CZ69,2)*6),6)</f>
        <v>0</v>
      </c>
      <c r="DC69">
        <f>ROUND((ROUND(AT69*AG69,2)*6),6)</f>
        <v>0</v>
      </c>
      <c r="DD69" t="s">
        <v>3</v>
      </c>
      <c r="DE69" t="s">
        <v>3</v>
      </c>
      <c r="DF69">
        <f t="shared" si="17"/>
        <v>0</v>
      </c>
      <c r="DG69">
        <f t="shared" si="18"/>
        <v>0</v>
      </c>
      <c r="DH69">
        <f t="shared" si="19"/>
        <v>0</v>
      </c>
      <c r="DI69">
        <f t="shared" si="20"/>
        <v>0</v>
      </c>
      <c r="DJ69">
        <f>DI69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5">
      <c r="A70">
        <f>ROW(Source!A148)</f>
        <v>148</v>
      </c>
      <c r="B70">
        <v>80890340</v>
      </c>
      <c r="C70">
        <v>80890900</v>
      </c>
      <c r="D70">
        <v>80199986</v>
      </c>
      <c r="E70">
        <v>15514512</v>
      </c>
      <c r="F70">
        <v>1</v>
      </c>
      <c r="G70">
        <v>15514512</v>
      </c>
      <c r="H70">
        <v>1</v>
      </c>
      <c r="I70" t="s">
        <v>267</v>
      </c>
      <c r="J70" t="s">
        <v>3</v>
      </c>
      <c r="K70" t="s">
        <v>268</v>
      </c>
      <c r="L70">
        <v>1191</v>
      </c>
      <c r="N70">
        <v>1013</v>
      </c>
      <c r="O70" t="s">
        <v>269</v>
      </c>
      <c r="P70" t="s">
        <v>269</v>
      </c>
      <c r="Q70">
        <v>1</v>
      </c>
      <c r="W70">
        <v>0</v>
      </c>
      <c r="X70">
        <v>476480486</v>
      </c>
      <c r="Y70">
        <f>(AT70*3)</f>
        <v>4.26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1.42</v>
      </c>
      <c r="AU70" t="s">
        <v>187</v>
      </c>
      <c r="AV70">
        <v>1</v>
      </c>
      <c r="AW70">
        <v>2</v>
      </c>
      <c r="AX70">
        <v>80890901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U70">
        <f>ROUND(AT70*Source!I148*AH70*AL70,2)</f>
        <v>0</v>
      </c>
      <c r="CV70">
        <f>ROUND(Y70*Source!I148,9)</f>
        <v>149.52600000000001</v>
      </c>
      <c r="CW70">
        <v>0</v>
      </c>
      <c r="CX70">
        <f>ROUND(Y70*Source!I148,9)</f>
        <v>149.52600000000001</v>
      </c>
      <c r="CY70">
        <f>AD70</f>
        <v>0</v>
      </c>
      <c r="CZ70">
        <f>AH70</f>
        <v>0</v>
      </c>
      <c r="DA70">
        <f>AL70</f>
        <v>1</v>
      </c>
      <c r="DB70">
        <f>ROUND((ROUND(AT70*CZ70,2)*3),6)</f>
        <v>0</v>
      </c>
      <c r="DC70">
        <f>ROUND((ROUND(AT70*AG70,2)*3),6)</f>
        <v>0</v>
      </c>
      <c r="DD70" t="s">
        <v>3</v>
      </c>
      <c r="DE70" t="s">
        <v>3</v>
      </c>
      <c r="DF70">
        <f t="shared" si="17"/>
        <v>0</v>
      </c>
      <c r="DG70">
        <f t="shared" si="18"/>
        <v>0</v>
      </c>
      <c r="DH70">
        <f t="shared" si="19"/>
        <v>0</v>
      </c>
      <c r="DI70">
        <f t="shared" si="20"/>
        <v>0</v>
      </c>
      <c r="DJ70">
        <f>DI70</f>
        <v>0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5">
      <c r="A71">
        <f>ROW(Source!A149)</f>
        <v>149</v>
      </c>
      <c r="B71">
        <v>80890340</v>
      </c>
      <c r="C71">
        <v>80890902</v>
      </c>
      <c r="D71">
        <v>80199986</v>
      </c>
      <c r="E71">
        <v>15514512</v>
      </c>
      <c r="F71">
        <v>1</v>
      </c>
      <c r="G71">
        <v>15514512</v>
      </c>
      <c r="H71">
        <v>1</v>
      </c>
      <c r="I71" t="s">
        <v>267</v>
      </c>
      <c r="J71" t="s">
        <v>3</v>
      </c>
      <c r="K71" t="s">
        <v>268</v>
      </c>
      <c r="L71">
        <v>1191</v>
      </c>
      <c r="N71">
        <v>1013</v>
      </c>
      <c r="O71" t="s">
        <v>269</v>
      </c>
      <c r="P71" t="s">
        <v>269</v>
      </c>
      <c r="Q71">
        <v>1</v>
      </c>
      <c r="W71">
        <v>0</v>
      </c>
      <c r="X71">
        <v>476480486</v>
      </c>
      <c r="Y71">
        <f>(AT71*2)</f>
        <v>0.36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0.18</v>
      </c>
      <c r="AU71" t="s">
        <v>246</v>
      </c>
      <c r="AV71">
        <v>1</v>
      </c>
      <c r="AW71">
        <v>2</v>
      </c>
      <c r="AX71">
        <v>80890903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U71">
        <f>ROUND(AT71*Source!I149*AH71*AL71,2)</f>
        <v>0</v>
      </c>
      <c r="CV71">
        <f>ROUND(Y71*Source!I149,9)</f>
        <v>12.635999999999999</v>
      </c>
      <c r="CW71">
        <v>0</v>
      </c>
      <c r="CX71">
        <f>ROUND(Y71*Source!I149,9)</f>
        <v>12.635999999999999</v>
      </c>
      <c r="CY71">
        <f>AD71</f>
        <v>0</v>
      </c>
      <c r="CZ71">
        <f>AH71</f>
        <v>0</v>
      </c>
      <c r="DA71">
        <f>AL71</f>
        <v>1</v>
      </c>
      <c r="DB71">
        <f>ROUND((ROUND(AT71*CZ71,2)*2),6)</f>
        <v>0</v>
      </c>
      <c r="DC71">
        <f>ROUND((ROUND(AT71*AG71,2)*2),6)</f>
        <v>0</v>
      </c>
      <c r="DD71" t="s">
        <v>3</v>
      </c>
      <c r="DE71" t="s">
        <v>3</v>
      </c>
      <c r="DF71">
        <f t="shared" si="17"/>
        <v>0</v>
      </c>
      <c r="DG71">
        <f t="shared" si="18"/>
        <v>0</v>
      </c>
      <c r="DH71">
        <f t="shared" si="19"/>
        <v>0</v>
      </c>
      <c r="DI71">
        <f t="shared" si="20"/>
        <v>0</v>
      </c>
      <c r="DJ71">
        <f>DI71</f>
        <v>0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5">
      <c r="A72">
        <f>ROW(Source!A149)</f>
        <v>149</v>
      </c>
      <c r="B72">
        <v>80890340</v>
      </c>
      <c r="C72">
        <v>80890902</v>
      </c>
      <c r="D72">
        <v>80213250</v>
      </c>
      <c r="E72">
        <v>1</v>
      </c>
      <c r="F72">
        <v>1</v>
      </c>
      <c r="G72">
        <v>15514512</v>
      </c>
      <c r="H72">
        <v>2</v>
      </c>
      <c r="I72" t="s">
        <v>316</v>
      </c>
      <c r="J72" t="s">
        <v>317</v>
      </c>
      <c r="K72" t="s">
        <v>318</v>
      </c>
      <c r="L72">
        <v>1368</v>
      </c>
      <c r="N72">
        <v>1011</v>
      </c>
      <c r="O72" t="s">
        <v>266</v>
      </c>
      <c r="P72" t="s">
        <v>266</v>
      </c>
      <c r="Q72">
        <v>1</v>
      </c>
      <c r="W72">
        <v>0</v>
      </c>
      <c r="X72">
        <v>-1615921593</v>
      </c>
      <c r="Y72">
        <f>(AT72*2)</f>
        <v>0.18</v>
      </c>
      <c r="AA72">
        <v>0</v>
      </c>
      <c r="AB72">
        <v>218.95</v>
      </c>
      <c r="AC72">
        <v>0.48</v>
      </c>
      <c r="AD72">
        <v>0</v>
      </c>
      <c r="AE72">
        <v>0</v>
      </c>
      <c r="AF72">
        <v>218.95</v>
      </c>
      <c r="AG72">
        <v>0.48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0.09</v>
      </c>
      <c r="AU72" t="s">
        <v>246</v>
      </c>
      <c r="AV72">
        <v>0</v>
      </c>
      <c r="AW72">
        <v>2</v>
      </c>
      <c r="AX72">
        <v>80890904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f>ROUND(Y72*Source!I149*DO72,9)</f>
        <v>0</v>
      </c>
      <c r="CX72">
        <f>ROUND(Y72*Source!I149,9)</f>
        <v>6.3179999999999996</v>
      </c>
      <c r="CY72">
        <f>AB72</f>
        <v>218.95</v>
      </c>
      <c r="CZ72">
        <f>AF72</f>
        <v>218.95</v>
      </c>
      <c r="DA72">
        <f>AJ72</f>
        <v>1</v>
      </c>
      <c r="DB72">
        <f>ROUND((ROUND(AT72*CZ72,2)*2),6)</f>
        <v>39.42</v>
      </c>
      <c r="DC72">
        <f>ROUND((ROUND(AT72*AG72,2)*2),6)</f>
        <v>0.08</v>
      </c>
      <c r="DD72" t="s">
        <v>3</v>
      </c>
      <c r="DE72" t="s">
        <v>3</v>
      </c>
      <c r="DF72">
        <f t="shared" si="17"/>
        <v>0</v>
      </c>
      <c r="DG72">
        <f t="shared" si="18"/>
        <v>1383.33</v>
      </c>
      <c r="DH72">
        <f t="shared" si="19"/>
        <v>3.03</v>
      </c>
      <c r="DI72">
        <f t="shared" si="20"/>
        <v>0</v>
      </c>
      <c r="DJ72">
        <f>DG72</f>
        <v>1383.33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5">
      <c r="A73">
        <f>ROW(Source!A149)</f>
        <v>149</v>
      </c>
      <c r="B73">
        <v>80890340</v>
      </c>
      <c r="C73">
        <v>80890902</v>
      </c>
      <c r="D73">
        <v>80215470</v>
      </c>
      <c r="E73">
        <v>1</v>
      </c>
      <c r="F73">
        <v>1</v>
      </c>
      <c r="G73">
        <v>15514512</v>
      </c>
      <c r="H73">
        <v>3</v>
      </c>
      <c r="I73" t="s">
        <v>37</v>
      </c>
      <c r="J73" t="s">
        <v>40</v>
      </c>
      <c r="K73" t="s">
        <v>38</v>
      </c>
      <c r="L73">
        <v>1339</v>
      </c>
      <c r="N73">
        <v>1007</v>
      </c>
      <c r="O73" t="s">
        <v>39</v>
      </c>
      <c r="P73" t="s">
        <v>39</v>
      </c>
      <c r="Q73">
        <v>1</v>
      </c>
      <c r="W73">
        <v>0</v>
      </c>
      <c r="X73">
        <v>2112060389</v>
      </c>
      <c r="Y73">
        <f>(AT73*2)</f>
        <v>0.02</v>
      </c>
      <c r="AA73">
        <v>54.81</v>
      </c>
      <c r="AB73">
        <v>0</v>
      </c>
      <c r="AC73">
        <v>0</v>
      </c>
      <c r="AD73">
        <v>0</v>
      </c>
      <c r="AE73">
        <v>54.81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0.01</v>
      </c>
      <c r="AU73" t="s">
        <v>246</v>
      </c>
      <c r="AV73">
        <v>0</v>
      </c>
      <c r="AW73">
        <v>2</v>
      </c>
      <c r="AX73">
        <v>80890905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ROUND(Y73*Source!I149,9)</f>
        <v>0.70199999999999996</v>
      </c>
      <c r="CY73">
        <f>AA73</f>
        <v>54.81</v>
      </c>
      <c r="CZ73">
        <f>AE73</f>
        <v>54.81</v>
      </c>
      <c r="DA73">
        <f>AI73</f>
        <v>1</v>
      </c>
      <c r="DB73">
        <f>ROUND((ROUND(AT73*CZ73,2)*2),6)</f>
        <v>1.1000000000000001</v>
      </c>
      <c r="DC73">
        <f>ROUND((ROUND(AT73*AG73,2)*2),6)</f>
        <v>0</v>
      </c>
      <c r="DD73" t="s">
        <v>3</v>
      </c>
      <c r="DE73" t="s">
        <v>3</v>
      </c>
      <c r="DF73">
        <f t="shared" si="17"/>
        <v>38.479999999999997</v>
      </c>
      <c r="DG73">
        <f t="shared" si="18"/>
        <v>0</v>
      </c>
      <c r="DH73">
        <f t="shared" si="19"/>
        <v>0</v>
      </c>
      <c r="DI73">
        <f t="shared" si="20"/>
        <v>0</v>
      </c>
      <c r="DJ73">
        <f>DF73</f>
        <v>38.479999999999997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5">
      <c r="A74">
        <f>ROW(Source!A149)</f>
        <v>149</v>
      </c>
      <c r="B74">
        <v>80890340</v>
      </c>
      <c r="C74">
        <v>80890902</v>
      </c>
      <c r="D74">
        <v>80217221</v>
      </c>
      <c r="E74">
        <v>1</v>
      </c>
      <c r="F74">
        <v>1</v>
      </c>
      <c r="G74">
        <v>15514512</v>
      </c>
      <c r="H74">
        <v>3</v>
      </c>
      <c r="I74" t="s">
        <v>248</v>
      </c>
      <c r="J74" t="s">
        <v>251</v>
      </c>
      <c r="K74" t="s">
        <v>249</v>
      </c>
      <c r="L74">
        <v>1296</v>
      </c>
      <c r="N74">
        <v>1002</v>
      </c>
      <c r="O74" t="s">
        <v>250</v>
      </c>
      <c r="P74" t="s">
        <v>250</v>
      </c>
      <c r="Q74">
        <v>1</v>
      </c>
      <c r="W74">
        <v>0</v>
      </c>
      <c r="X74">
        <v>1267865924</v>
      </c>
      <c r="Y74">
        <f>(AT74*2)</f>
        <v>0.2</v>
      </c>
      <c r="AA74">
        <v>947.97</v>
      </c>
      <c r="AB74">
        <v>0</v>
      </c>
      <c r="AC74">
        <v>0</v>
      </c>
      <c r="AD74">
        <v>0</v>
      </c>
      <c r="AE74">
        <v>947.97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0</v>
      </c>
      <c r="AN74">
        <v>0</v>
      </c>
      <c r="AO74">
        <v>0</v>
      </c>
      <c r="AP74">
        <v>1</v>
      </c>
      <c r="AQ74">
        <v>0</v>
      </c>
      <c r="AR74">
        <v>0</v>
      </c>
      <c r="AS74" t="s">
        <v>3</v>
      </c>
      <c r="AT74">
        <v>0.1</v>
      </c>
      <c r="AU74" t="s">
        <v>246</v>
      </c>
      <c r="AV74">
        <v>0</v>
      </c>
      <c r="AW74">
        <v>1</v>
      </c>
      <c r="AX74">
        <v>-1</v>
      </c>
      <c r="AY74">
        <v>0</v>
      </c>
      <c r="AZ74">
        <v>0</v>
      </c>
      <c r="BA74" t="s">
        <v>3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ROUND(Y74*Source!I149,9)</f>
        <v>7.02</v>
      </c>
      <c r="CY74">
        <f>AA74</f>
        <v>947.97</v>
      </c>
      <c r="CZ74">
        <f>AE74</f>
        <v>947.97</v>
      </c>
      <c r="DA74">
        <f>AI74</f>
        <v>1</v>
      </c>
      <c r="DB74">
        <f>ROUND((ROUND(AT74*CZ74,2)*2),6)</f>
        <v>189.6</v>
      </c>
      <c r="DC74">
        <f>ROUND((ROUND(AT74*AG74,2)*2),6)</f>
        <v>0</v>
      </c>
      <c r="DD74" t="s">
        <v>3</v>
      </c>
      <c r="DE74" t="s">
        <v>3</v>
      </c>
      <c r="DF74">
        <f t="shared" si="17"/>
        <v>6654.75</v>
      </c>
      <c r="DG74">
        <f t="shared" si="18"/>
        <v>0</v>
      </c>
      <c r="DH74">
        <f t="shared" si="19"/>
        <v>0</v>
      </c>
      <c r="DI74">
        <f t="shared" si="20"/>
        <v>0</v>
      </c>
      <c r="DJ74">
        <f>DF74</f>
        <v>6654.75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5">
      <c r="A75">
        <f>ROW(Source!A151)</f>
        <v>151</v>
      </c>
      <c r="B75">
        <v>80890340</v>
      </c>
      <c r="C75">
        <v>80890892</v>
      </c>
      <c r="D75">
        <v>80199986</v>
      </c>
      <c r="E75">
        <v>15514512</v>
      </c>
      <c r="F75">
        <v>1</v>
      </c>
      <c r="G75">
        <v>15514512</v>
      </c>
      <c r="H75">
        <v>1</v>
      </c>
      <c r="I75" t="s">
        <v>267</v>
      </c>
      <c r="J75" t="s">
        <v>3</v>
      </c>
      <c r="K75" t="s">
        <v>268</v>
      </c>
      <c r="L75">
        <v>1191</v>
      </c>
      <c r="N75">
        <v>1013</v>
      </c>
      <c r="O75" t="s">
        <v>269</v>
      </c>
      <c r="P75" t="s">
        <v>269</v>
      </c>
      <c r="Q75">
        <v>1</v>
      </c>
      <c r="W75">
        <v>0</v>
      </c>
      <c r="X75">
        <v>476480486</v>
      </c>
      <c r="Y75">
        <f>(AT75*20)</f>
        <v>11.200000000000001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0.56000000000000005</v>
      </c>
      <c r="AU75" t="s">
        <v>66</v>
      </c>
      <c r="AV75">
        <v>1</v>
      </c>
      <c r="AW75">
        <v>2</v>
      </c>
      <c r="AX75">
        <v>80890896</v>
      </c>
      <c r="AY75">
        <v>1</v>
      </c>
      <c r="AZ75">
        <v>2048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U75">
        <f>ROUND(AT75*Source!I151*AH75*AL75,2)</f>
        <v>0</v>
      </c>
      <c r="CV75">
        <f>ROUND(Y75*Source!I151,9)</f>
        <v>53.423999999999999</v>
      </c>
      <c r="CW75">
        <v>0</v>
      </c>
      <c r="CX75">
        <f>ROUND(Y75*Source!I151,9)</f>
        <v>53.423999999999999</v>
      </c>
      <c r="CY75">
        <f>AD75</f>
        <v>0</v>
      </c>
      <c r="CZ75">
        <f>AH75</f>
        <v>0</v>
      </c>
      <c r="DA75">
        <f>AL75</f>
        <v>1</v>
      </c>
      <c r="DB75">
        <f>ROUND((ROUND(AT75*CZ75,2)*20),6)</f>
        <v>0</v>
      </c>
      <c r="DC75">
        <f>ROUND((ROUND(AT75*AG75,2)*20),6)</f>
        <v>0</v>
      </c>
      <c r="DD75" t="s">
        <v>3</v>
      </c>
      <c r="DE75" t="s">
        <v>3</v>
      </c>
      <c r="DF75">
        <f t="shared" si="17"/>
        <v>0</v>
      </c>
      <c r="DG75">
        <f t="shared" si="18"/>
        <v>0</v>
      </c>
      <c r="DH75">
        <f t="shared" si="19"/>
        <v>0</v>
      </c>
      <c r="DI75">
        <f t="shared" si="20"/>
        <v>0</v>
      </c>
      <c r="DJ75">
        <f>DI75</f>
        <v>0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5">
      <c r="A76">
        <f>ROW(Source!A151)</f>
        <v>151</v>
      </c>
      <c r="B76">
        <v>80890340</v>
      </c>
      <c r="C76">
        <v>80890892</v>
      </c>
      <c r="D76">
        <v>80212805</v>
      </c>
      <c r="E76">
        <v>1</v>
      </c>
      <c r="F76">
        <v>1</v>
      </c>
      <c r="G76">
        <v>15514512</v>
      </c>
      <c r="H76">
        <v>2</v>
      </c>
      <c r="I76" t="s">
        <v>313</v>
      </c>
      <c r="J76" t="s">
        <v>314</v>
      </c>
      <c r="K76" t="s">
        <v>315</v>
      </c>
      <c r="L76">
        <v>1368</v>
      </c>
      <c r="N76">
        <v>1011</v>
      </c>
      <c r="O76" t="s">
        <v>266</v>
      </c>
      <c r="P76" t="s">
        <v>266</v>
      </c>
      <c r="Q76">
        <v>1</v>
      </c>
      <c r="W76">
        <v>0</v>
      </c>
      <c r="X76">
        <v>-1652508930</v>
      </c>
      <c r="Y76">
        <f>(AT76*20)</f>
        <v>6</v>
      </c>
      <c r="AA76">
        <v>0</v>
      </c>
      <c r="AB76">
        <v>2997.56</v>
      </c>
      <c r="AC76">
        <v>1034.8599999999999</v>
      </c>
      <c r="AD76">
        <v>0</v>
      </c>
      <c r="AE76">
        <v>0</v>
      </c>
      <c r="AF76">
        <v>2997.56</v>
      </c>
      <c r="AG76">
        <v>1034.8599999999999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0.3</v>
      </c>
      <c r="AU76" t="s">
        <v>66</v>
      </c>
      <c r="AV76">
        <v>0</v>
      </c>
      <c r="AW76">
        <v>2</v>
      </c>
      <c r="AX76">
        <v>80890897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f>ROUND(Y76*Source!I151*DO76,9)</f>
        <v>0</v>
      </c>
      <c r="CX76">
        <f>ROUND(Y76*Source!I151,9)</f>
        <v>28.62</v>
      </c>
      <c r="CY76">
        <f>AB76</f>
        <v>2997.56</v>
      </c>
      <c r="CZ76">
        <f>AF76</f>
        <v>2997.56</v>
      </c>
      <c r="DA76">
        <f>AJ76</f>
        <v>1</v>
      </c>
      <c r="DB76">
        <f>ROUND((ROUND(AT76*CZ76,2)*20),6)</f>
        <v>17985.400000000001</v>
      </c>
      <c r="DC76">
        <f>ROUND((ROUND(AT76*AG76,2)*20),6)</f>
        <v>6209.2</v>
      </c>
      <c r="DD76" t="s">
        <v>3</v>
      </c>
      <c r="DE76" t="s">
        <v>3</v>
      </c>
      <c r="DF76">
        <f t="shared" si="17"/>
        <v>0</v>
      </c>
      <c r="DG76">
        <f t="shared" si="18"/>
        <v>85790.17</v>
      </c>
      <c r="DH76">
        <f t="shared" si="19"/>
        <v>29617.69</v>
      </c>
      <c r="DI76">
        <f t="shared" si="20"/>
        <v>0</v>
      </c>
      <c r="DJ76">
        <f>DG76</f>
        <v>85790.17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5">
      <c r="A77">
        <f>ROW(Source!A151)</f>
        <v>151</v>
      </c>
      <c r="B77">
        <v>80890340</v>
      </c>
      <c r="C77">
        <v>80890892</v>
      </c>
      <c r="D77">
        <v>80215470</v>
      </c>
      <c r="E77">
        <v>1</v>
      </c>
      <c r="F77">
        <v>1</v>
      </c>
      <c r="G77">
        <v>15514512</v>
      </c>
      <c r="H77">
        <v>3</v>
      </c>
      <c r="I77" t="s">
        <v>37</v>
      </c>
      <c r="J77" t="s">
        <v>40</v>
      </c>
      <c r="K77" t="s">
        <v>38</v>
      </c>
      <c r="L77">
        <v>1339</v>
      </c>
      <c r="N77">
        <v>1007</v>
      </c>
      <c r="O77" t="s">
        <v>39</v>
      </c>
      <c r="P77" t="s">
        <v>39</v>
      </c>
      <c r="Q77">
        <v>1</v>
      </c>
      <c r="W77">
        <v>1</v>
      </c>
      <c r="X77">
        <v>2112060389</v>
      </c>
      <c r="Y77">
        <f>(AT77*20)</f>
        <v>-20</v>
      </c>
      <c r="AA77">
        <v>54.81</v>
      </c>
      <c r="AB77">
        <v>0</v>
      </c>
      <c r="AC77">
        <v>0</v>
      </c>
      <c r="AD77">
        <v>0</v>
      </c>
      <c r="AE77">
        <v>54.81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-1</v>
      </c>
      <c r="AU77" t="s">
        <v>66</v>
      </c>
      <c r="AV77">
        <v>0</v>
      </c>
      <c r="AW77">
        <v>2</v>
      </c>
      <c r="AX77">
        <v>80890898</v>
      </c>
      <c r="AY77">
        <v>1</v>
      </c>
      <c r="AZ77">
        <v>6144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ROUND(Y77*Source!I151,9)</f>
        <v>-95.4</v>
      </c>
      <c r="CY77">
        <f>AA77</f>
        <v>54.81</v>
      </c>
      <c r="CZ77">
        <f>AE77</f>
        <v>54.81</v>
      </c>
      <c r="DA77">
        <f>AI77</f>
        <v>1</v>
      </c>
      <c r="DB77">
        <f>ROUND((ROUND(AT77*CZ77,2)*20),6)</f>
        <v>-1096.2</v>
      </c>
      <c r="DC77">
        <f>ROUND((ROUND(AT77*AG77,2)*20),6)</f>
        <v>0</v>
      </c>
      <c r="DD77" t="s">
        <v>3</v>
      </c>
      <c r="DE77" t="s">
        <v>3</v>
      </c>
      <c r="DF77">
        <f t="shared" si="17"/>
        <v>-5228.87</v>
      </c>
      <c r="DG77">
        <f t="shared" si="18"/>
        <v>0</v>
      </c>
      <c r="DH77">
        <f t="shared" si="19"/>
        <v>0</v>
      </c>
      <c r="DI77">
        <f t="shared" si="20"/>
        <v>0</v>
      </c>
      <c r="DJ77">
        <f>DF77</f>
        <v>-5228.87</v>
      </c>
      <c r="DK77">
        <v>0</v>
      </c>
      <c r="DL77" t="s">
        <v>3</v>
      </c>
      <c r="DM77">
        <v>0</v>
      </c>
      <c r="DN77" t="s">
        <v>3</v>
      </c>
      <c r="DO7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64938-E94B-487D-8BAB-61AAFD43FF65}">
  <dimension ref="A1:AR77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44" x14ac:dyDescent="0.25">
      <c r="A1">
        <f>ROW(Source!A32)</f>
        <v>32</v>
      </c>
      <c r="B1">
        <v>80890720</v>
      </c>
      <c r="C1">
        <v>80890527</v>
      </c>
      <c r="D1">
        <v>80213220</v>
      </c>
      <c r="E1">
        <v>1</v>
      </c>
      <c r="F1">
        <v>1</v>
      </c>
      <c r="G1">
        <v>15514512</v>
      </c>
      <c r="H1">
        <v>2</v>
      </c>
      <c r="I1" t="s">
        <v>263</v>
      </c>
      <c r="J1" t="s">
        <v>264</v>
      </c>
      <c r="K1" t="s">
        <v>265</v>
      </c>
      <c r="L1">
        <v>1368</v>
      </c>
      <c r="N1">
        <v>1011</v>
      </c>
      <c r="O1" t="s">
        <v>266</v>
      </c>
      <c r="P1" t="s">
        <v>266</v>
      </c>
      <c r="Q1">
        <v>1</v>
      </c>
      <c r="X1">
        <v>0.5</v>
      </c>
      <c r="Y1">
        <v>0</v>
      </c>
      <c r="Z1">
        <v>2515.98</v>
      </c>
      <c r="AA1">
        <v>872.98</v>
      </c>
      <c r="AB1">
        <v>0</v>
      </c>
      <c r="AC1">
        <v>0</v>
      </c>
      <c r="AD1">
        <v>1</v>
      </c>
      <c r="AE1">
        <v>0</v>
      </c>
      <c r="AF1" t="s">
        <v>22</v>
      </c>
      <c r="AG1">
        <v>27.5</v>
      </c>
      <c r="AH1">
        <v>2</v>
      </c>
      <c r="AI1">
        <v>80890720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5">
      <c r="A2">
        <f>ROW(Source!A33)</f>
        <v>33</v>
      </c>
      <c r="B2">
        <v>80890721</v>
      </c>
      <c r="C2">
        <v>80890528</v>
      </c>
      <c r="D2">
        <v>80199986</v>
      </c>
      <c r="E2">
        <v>15514512</v>
      </c>
      <c r="F2">
        <v>1</v>
      </c>
      <c r="G2">
        <v>15514512</v>
      </c>
      <c r="H2">
        <v>1</v>
      </c>
      <c r="I2" t="s">
        <v>267</v>
      </c>
      <c r="J2" t="s">
        <v>3</v>
      </c>
      <c r="K2" t="s">
        <v>268</v>
      </c>
      <c r="L2">
        <v>1191</v>
      </c>
      <c r="N2">
        <v>1013</v>
      </c>
      <c r="O2" t="s">
        <v>269</v>
      </c>
      <c r="P2" t="s">
        <v>269</v>
      </c>
      <c r="Q2">
        <v>1</v>
      </c>
      <c r="X2">
        <v>0.65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22</v>
      </c>
      <c r="AG2">
        <v>35.75</v>
      </c>
      <c r="AH2">
        <v>2</v>
      </c>
      <c r="AI2">
        <v>80890721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5">
      <c r="A3">
        <f>ROW(Source!A34)</f>
        <v>34</v>
      </c>
      <c r="B3">
        <v>80890722</v>
      </c>
      <c r="C3">
        <v>80890529</v>
      </c>
      <c r="D3">
        <v>80213221</v>
      </c>
      <c r="E3">
        <v>1</v>
      </c>
      <c r="F3">
        <v>1</v>
      </c>
      <c r="G3">
        <v>15514512</v>
      </c>
      <c r="H3">
        <v>2</v>
      </c>
      <c r="I3" t="s">
        <v>270</v>
      </c>
      <c r="J3" t="s">
        <v>271</v>
      </c>
      <c r="K3" t="s">
        <v>272</v>
      </c>
      <c r="L3">
        <v>1368</v>
      </c>
      <c r="N3">
        <v>1011</v>
      </c>
      <c r="O3" t="s">
        <v>266</v>
      </c>
      <c r="P3" t="s">
        <v>266</v>
      </c>
      <c r="Q3">
        <v>1</v>
      </c>
      <c r="X3">
        <v>0.26</v>
      </c>
      <c r="Y3">
        <v>0</v>
      </c>
      <c r="Z3">
        <v>1783.28</v>
      </c>
      <c r="AA3">
        <v>842.87</v>
      </c>
      <c r="AB3">
        <v>0</v>
      </c>
      <c r="AC3">
        <v>0</v>
      </c>
      <c r="AD3">
        <v>1</v>
      </c>
      <c r="AE3">
        <v>0</v>
      </c>
      <c r="AF3" t="s">
        <v>35</v>
      </c>
      <c r="AG3">
        <v>28.86</v>
      </c>
      <c r="AH3">
        <v>2</v>
      </c>
      <c r="AI3">
        <v>80890722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5">
      <c r="A4">
        <f>ROW(Source!A34)</f>
        <v>34</v>
      </c>
      <c r="B4">
        <v>80890723</v>
      </c>
      <c r="C4">
        <v>80890529</v>
      </c>
      <c r="D4">
        <v>80215470</v>
      </c>
      <c r="E4">
        <v>1</v>
      </c>
      <c r="F4">
        <v>1</v>
      </c>
      <c r="G4">
        <v>15514512</v>
      </c>
      <c r="H4">
        <v>3</v>
      </c>
      <c r="I4" t="s">
        <v>37</v>
      </c>
      <c r="J4" t="s">
        <v>40</v>
      </c>
      <c r="K4" t="s">
        <v>38</v>
      </c>
      <c r="L4">
        <v>1339</v>
      </c>
      <c r="N4">
        <v>1007</v>
      </c>
      <c r="O4" t="s">
        <v>39</v>
      </c>
      <c r="P4" t="s">
        <v>39</v>
      </c>
      <c r="Q4">
        <v>1</v>
      </c>
      <c r="X4">
        <v>0.2</v>
      </c>
      <c r="Y4">
        <v>54.81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35</v>
      </c>
      <c r="AG4">
        <v>22.200000000000003</v>
      </c>
      <c r="AH4">
        <v>2</v>
      </c>
      <c r="AI4">
        <v>80890723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5">
      <c r="A5">
        <f>ROW(Source!A36)</f>
        <v>36</v>
      </c>
      <c r="B5">
        <v>80890725</v>
      </c>
      <c r="C5">
        <v>80890530</v>
      </c>
      <c r="D5">
        <v>80199986</v>
      </c>
      <c r="E5">
        <v>15514512</v>
      </c>
      <c r="F5">
        <v>1</v>
      </c>
      <c r="G5">
        <v>15514512</v>
      </c>
      <c r="H5">
        <v>1</v>
      </c>
      <c r="I5" t="s">
        <v>267</v>
      </c>
      <c r="J5" t="s">
        <v>3</v>
      </c>
      <c r="K5" t="s">
        <v>268</v>
      </c>
      <c r="L5">
        <v>1191</v>
      </c>
      <c r="N5">
        <v>1013</v>
      </c>
      <c r="O5" t="s">
        <v>269</v>
      </c>
      <c r="P5" t="s">
        <v>269</v>
      </c>
      <c r="Q5">
        <v>1</v>
      </c>
      <c r="X5">
        <v>0.14000000000000001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35</v>
      </c>
      <c r="AG5">
        <v>15.540000000000001</v>
      </c>
      <c r="AH5">
        <v>2</v>
      </c>
      <c r="AI5">
        <v>80890725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5">
      <c r="A6">
        <f>ROW(Source!A37)</f>
        <v>37</v>
      </c>
      <c r="B6">
        <v>80890726</v>
      </c>
      <c r="C6">
        <v>80890531</v>
      </c>
      <c r="D6">
        <v>80199986</v>
      </c>
      <c r="E6">
        <v>15514512</v>
      </c>
      <c r="F6">
        <v>1</v>
      </c>
      <c r="G6">
        <v>15514512</v>
      </c>
      <c r="H6">
        <v>1</v>
      </c>
      <c r="I6" t="s">
        <v>267</v>
      </c>
      <c r="J6" t="s">
        <v>3</v>
      </c>
      <c r="K6" t="s">
        <v>268</v>
      </c>
      <c r="L6">
        <v>1191</v>
      </c>
      <c r="N6">
        <v>1013</v>
      </c>
      <c r="O6" t="s">
        <v>269</v>
      </c>
      <c r="P6" t="s">
        <v>269</v>
      </c>
      <c r="Q6">
        <v>1</v>
      </c>
      <c r="X6">
        <v>0.24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22</v>
      </c>
      <c r="AG6">
        <v>13.2</v>
      </c>
      <c r="AH6">
        <v>2</v>
      </c>
      <c r="AI6">
        <v>80890726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5">
      <c r="A7">
        <f>ROW(Source!A38)</f>
        <v>38</v>
      </c>
      <c r="B7">
        <v>80890727</v>
      </c>
      <c r="C7">
        <v>80890532</v>
      </c>
      <c r="D7">
        <v>80199986</v>
      </c>
      <c r="E7">
        <v>15514512</v>
      </c>
      <c r="F7">
        <v>1</v>
      </c>
      <c r="G7">
        <v>15514512</v>
      </c>
      <c r="H7">
        <v>1</v>
      </c>
      <c r="I7" t="s">
        <v>267</v>
      </c>
      <c r="J7" t="s">
        <v>3</v>
      </c>
      <c r="K7" t="s">
        <v>268</v>
      </c>
      <c r="L7">
        <v>1191</v>
      </c>
      <c r="N7">
        <v>1013</v>
      </c>
      <c r="O7" t="s">
        <v>269</v>
      </c>
      <c r="P7" t="s">
        <v>269</v>
      </c>
      <c r="Q7">
        <v>1</v>
      </c>
      <c r="X7">
        <v>1.03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22</v>
      </c>
      <c r="AG7">
        <v>56.65</v>
      </c>
      <c r="AH7">
        <v>2</v>
      </c>
      <c r="AI7">
        <v>80890727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5">
      <c r="A8">
        <f>ROW(Source!A39)</f>
        <v>39</v>
      </c>
      <c r="B8">
        <v>80890728</v>
      </c>
      <c r="C8">
        <v>80890534</v>
      </c>
      <c r="D8">
        <v>80199986</v>
      </c>
      <c r="E8">
        <v>15514512</v>
      </c>
      <c r="F8">
        <v>1</v>
      </c>
      <c r="G8">
        <v>15514512</v>
      </c>
      <c r="H8">
        <v>1</v>
      </c>
      <c r="I8" t="s">
        <v>267</v>
      </c>
      <c r="J8" t="s">
        <v>3</v>
      </c>
      <c r="K8" t="s">
        <v>268</v>
      </c>
      <c r="L8">
        <v>1191</v>
      </c>
      <c r="N8">
        <v>1013</v>
      </c>
      <c r="O8" t="s">
        <v>269</v>
      </c>
      <c r="P8" t="s">
        <v>269</v>
      </c>
      <c r="Q8">
        <v>1</v>
      </c>
      <c r="X8">
        <v>0.3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57</v>
      </c>
      <c r="AG8">
        <v>9</v>
      </c>
      <c r="AH8">
        <v>2</v>
      </c>
      <c r="AI8">
        <v>80890728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5">
      <c r="A9">
        <f>ROW(Source!A39)</f>
        <v>39</v>
      </c>
      <c r="B9">
        <v>80890729</v>
      </c>
      <c r="C9">
        <v>80890534</v>
      </c>
      <c r="D9">
        <v>80216195</v>
      </c>
      <c r="E9">
        <v>1</v>
      </c>
      <c r="F9">
        <v>1</v>
      </c>
      <c r="G9">
        <v>15514512</v>
      </c>
      <c r="H9">
        <v>3</v>
      </c>
      <c r="I9" t="s">
        <v>273</v>
      </c>
      <c r="J9" t="s">
        <v>274</v>
      </c>
      <c r="K9" t="s">
        <v>275</v>
      </c>
      <c r="L9">
        <v>1346</v>
      </c>
      <c r="N9">
        <v>1009</v>
      </c>
      <c r="O9" t="s">
        <v>220</v>
      </c>
      <c r="P9" t="s">
        <v>220</v>
      </c>
      <c r="Q9">
        <v>1</v>
      </c>
      <c r="X9">
        <v>5</v>
      </c>
      <c r="Y9">
        <v>27.3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57</v>
      </c>
      <c r="AG9">
        <v>150</v>
      </c>
      <c r="AH9">
        <v>2</v>
      </c>
      <c r="AI9">
        <v>80890729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>
        <f>ROW(Source!A40)</f>
        <v>40</v>
      </c>
      <c r="B10">
        <v>80890730</v>
      </c>
      <c r="C10">
        <v>80890535</v>
      </c>
      <c r="D10">
        <v>80199986</v>
      </c>
      <c r="E10">
        <v>15514512</v>
      </c>
      <c r="F10">
        <v>1</v>
      </c>
      <c r="G10">
        <v>15514512</v>
      </c>
      <c r="H10">
        <v>1</v>
      </c>
      <c r="I10" t="s">
        <v>267</v>
      </c>
      <c r="J10" t="s">
        <v>3</v>
      </c>
      <c r="K10" t="s">
        <v>268</v>
      </c>
      <c r="L10">
        <v>1191</v>
      </c>
      <c r="N10">
        <v>1013</v>
      </c>
      <c r="O10" t="s">
        <v>269</v>
      </c>
      <c r="P10" t="s">
        <v>269</v>
      </c>
      <c r="Q10">
        <v>1</v>
      </c>
      <c r="X10">
        <v>0.02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1</v>
      </c>
      <c r="AF10" t="s">
        <v>57</v>
      </c>
      <c r="AG10">
        <v>0.6</v>
      </c>
      <c r="AH10">
        <v>2</v>
      </c>
      <c r="AI10">
        <v>80890730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5">
      <c r="A11">
        <f>ROW(Source!A40)</f>
        <v>40</v>
      </c>
      <c r="B11">
        <v>80890731</v>
      </c>
      <c r="C11">
        <v>80890535</v>
      </c>
      <c r="D11">
        <v>80213219</v>
      </c>
      <c r="E11">
        <v>1</v>
      </c>
      <c r="F11">
        <v>1</v>
      </c>
      <c r="G11">
        <v>15514512</v>
      </c>
      <c r="H11">
        <v>2</v>
      </c>
      <c r="I11" t="s">
        <v>276</v>
      </c>
      <c r="J11" t="s">
        <v>277</v>
      </c>
      <c r="K11" t="s">
        <v>278</v>
      </c>
      <c r="L11">
        <v>1368</v>
      </c>
      <c r="N11">
        <v>1011</v>
      </c>
      <c r="O11" t="s">
        <v>266</v>
      </c>
      <c r="P11" t="s">
        <v>266</v>
      </c>
      <c r="Q11">
        <v>1</v>
      </c>
      <c r="X11">
        <v>0.08</v>
      </c>
      <c r="Y11">
        <v>0</v>
      </c>
      <c r="Z11">
        <v>1988.28</v>
      </c>
      <c r="AA11">
        <v>838.86</v>
      </c>
      <c r="AB11">
        <v>0</v>
      </c>
      <c r="AC11">
        <v>0</v>
      </c>
      <c r="AD11">
        <v>1</v>
      </c>
      <c r="AE11">
        <v>0</v>
      </c>
      <c r="AF11" t="s">
        <v>57</v>
      </c>
      <c r="AG11">
        <v>2.4</v>
      </c>
      <c r="AH11">
        <v>2</v>
      </c>
      <c r="AI11">
        <v>80890731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5">
      <c r="A12">
        <f>ROW(Source!A40)</f>
        <v>40</v>
      </c>
      <c r="B12">
        <v>80890732</v>
      </c>
      <c r="C12">
        <v>80890535</v>
      </c>
      <c r="D12">
        <v>80216195</v>
      </c>
      <c r="E12">
        <v>1</v>
      </c>
      <c r="F12">
        <v>1</v>
      </c>
      <c r="G12">
        <v>15514512</v>
      </c>
      <c r="H12">
        <v>3</v>
      </c>
      <c r="I12" t="s">
        <v>273</v>
      </c>
      <c r="J12" t="s">
        <v>274</v>
      </c>
      <c r="K12" t="s">
        <v>275</v>
      </c>
      <c r="L12">
        <v>1346</v>
      </c>
      <c r="N12">
        <v>1009</v>
      </c>
      <c r="O12" t="s">
        <v>220</v>
      </c>
      <c r="P12" t="s">
        <v>220</v>
      </c>
      <c r="Q12">
        <v>1</v>
      </c>
      <c r="X12">
        <v>50</v>
      </c>
      <c r="Y12">
        <v>27.3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57</v>
      </c>
      <c r="AG12">
        <v>1500</v>
      </c>
      <c r="AH12">
        <v>2</v>
      </c>
      <c r="AI12">
        <v>80890732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5">
      <c r="A13">
        <f>ROW(Source!A41)</f>
        <v>41</v>
      </c>
      <c r="B13">
        <v>80890733</v>
      </c>
      <c r="C13">
        <v>80890536</v>
      </c>
      <c r="D13">
        <v>80199986</v>
      </c>
      <c r="E13">
        <v>15514512</v>
      </c>
      <c r="F13">
        <v>1</v>
      </c>
      <c r="G13">
        <v>15514512</v>
      </c>
      <c r="H13">
        <v>1</v>
      </c>
      <c r="I13" t="s">
        <v>267</v>
      </c>
      <c r="J13" t="s">
        <v>3</v>
      </c>
      <c r="K13" t="s">
        <v>268</v>
      </c>
      <c r="L13">
        <v>1191</v>
      </c>
      <c r="N13">
        <v>1013</v>
      </c>
      <c r="O13" t="s">
        <v>269</v>
      </c>
      <c r="P13" t="s">
        <v>269</v>
      </c>
      <c r="Q13">
        <v>1</v>
      </c>
      <c r="X13">
        <v>2.41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66</v>
      </c>
      <c r="AG13">
        <v>48.2</v>
      </c>
      <c r="AH13">
        <v>2</v>
      </c>
      <c r="AI13">
        <v>80890733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5">
      <c r="A14">
        <f>ROW(Source!A42)</f>
        <v>42</v>
      </c>
      <c r="B14">
        <v>80890734</v>
      </c>
      <c r="C14">
        <v>80890537</v>
      </c>
      <c r="D14">
        <v>80199986</v>
      </c>
      <c r="E14">
        <v>15514512</v>
      </c>
      <c r="F14">
        <v>1</v>
      </c>
      <c r="G14">
        <v>15514512</v>
      </c>
      <c r="H14">
        <v>1</v>
      </c>
      <c r="I14" t="s">
        <v>267</v>
      </c>
      <c r="J14" t="s">
        <v>3</v>
      </c>
      <c r="K14" t="s">
        <v>268</v>
      </c>
      <c r="L14">
        <v>1191</v>
      </c>
      <c r="N14">
        <v>1013</v>
      </c>
      <c r="O14" t="s">
        <v>269</v>
      </c>
      <c r="P14" t="s">
        <v>269</v>
      </c>
      <c r="Q14">
        <v>1</v>
      </c>
      <c r="X14">
        <v>0.37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3</v>
      </c>
      <c r="AG14">
        <v>0.37</v>
      </c>
      <c r="AH14">
        <v>2</v>
      </c>
      <c r="AI14">
        <v>80890734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5">
      <c r="A15">
        <f>ROW(Source!A42)</f>
        <v>42</v>
      </c>
      <c r="B15">
        <v>80890735</v>
      </c>
      <c r="C15">
        <v>80890537</v>
      </c>
      <c r="D15">
        <v>80212784</v>
      </c>
      <c r="E15">
        <v>1</v>
      </c>
      <c r="F15">
        <v>1</v>
      </c>
      <c r="G15">
        <v>15514512</v>
      </c>
      <c r="H15">
        <v>2</v>
      </c>
      <c r="I15" t="s">
        <v>279</v>
      </c>
      <c r="J15" t="s">
        <v>280</v>
      </c>
      <c r="K15" t="s">
        <v>281</v>
      </c>
      <c r="L15">
        <v>1368</v>
      </c>
      <c r="N15">
        <v>1011</v>
      </c>
      <c r="O15" t="s">
        <v>266</v>
      </c>
      <c r="P15" t="s">
        <v>266</v>
      </c>
      <c r="Q15">
        <v>1</v>
      </c>
      <c r="X15">
        <v>0.34</v>
      </c>
      <c r="Y15">
        <v>0</v>
      </c>
      <c r="Z15">
        <v>2097.0700000000002</v>
      </c>
      <c r="AA15">
        <v>1028.7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0.34</v>
      </c>
      <c r="AH15">
        <v>2</v>
      </c>
      <c r="AI15">
        <v>80890735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5">
      <c r="A16">
        <f>ROW(Source!A43)</f>
        <v>43</v>
      </c>
      <c r="B16">
        <v>80890736</v>
      </c>
      <c r="C16">
        <v>80890538</v>
      </c>
      <c r="D16">
        <v>80212784</v>
      </c>
      <c r="E16">
        <v>1</v>
      </c>
      <c r="F16">
        <v>1</v>
      </c>
      <c r="G16">
        <v>15514512</v>
      </c>
      <c r="H16">
        <v>2</v>
      </c>
      <c r="I16" t="s">
        <v>279</v>
      </c>
      <c r="J16" t="s">
        <v>280</v>
      </c>
      <c r="K16" t="s">
        <v>281</v>
      </c>
      <c r="L16">
        <v>1368</v>
      </c>
      <c r="N16">
        <v>1011</v>
      </c>
      <c r="O16" t="s">
        <v>266</v>
      </c>
      <c r="P16" t="s">
        <v>266</v>
      </c>
      <c r="Q16">
        <v>1</v>
      </c>
      <c r="X16">
        <v>0.09</v>
      </c>
      <c r="Y16">
        <v>0</v>
      </c>
      <c r="Z16">
        <v>2097.0700000000002</v>
      </c>
      <c r="AA16">
        <v>1028.7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0.09</v>
      </c>
      <c r="AH16">
        <v>2</v>
      </c>
      <c r="AI16">
        <v>80890736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5">
      <c r="A17">
        <f>ROW(Source!A44)</f>
        <v>44</v>
      </c>
      <c r="B17">
        <v>80890737</v>
      </c>
      <c r="C17">
        <v>80890539</v>
      </c>
      <c r="D17">
        <v>80199986</v>
      </c>
      <c r="E17">
        <v>15514512</v>
      </c>
      <c r="F17">
        <v>1</v>
      </c>
      <c r="G17">
        <v>15514512</v>
      </c>
      <c r="H17">
        <v>1</v>
      </c>
      <c r="I17" t="s">
        <v>267</v>
      </c>
      <c r="J17" t="s">
        <v>3</v>
      </c>
      <c r="K17" t="s">
        <v>268</v>
      </c>
      <c r="L17">
        <v>1191</v>
      </c>
      <c r="N17">
        <v>1013</v>
      </c>
      <c r="O17" t="s">
        <v>269</v>
      </c>
      <c r="P17" t="s">
        <v>269</v>
      </c>
      <c r="Q17">
        <v>1</v>
      </c>
      <c r="X17">
        <v>2.81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79</v>
      </c>
      <c r="AG17">
        <v>61.82</v>
      </c>
      <c r="AH17">
        <v>2</v>
      </c>
      <c r="AI17">
        <v>80890737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5">
      <c r="A18">
        <f>ROW(Source!A45)</f>
        <v>45</v>
      </c>
      <c r="B18">
        <v>80890738</v>
      </c>
      <c r="C18">
        <v>80890540</v>
      </c>
      <c r="D18">
        <v>80199986</v>
      </c>
      <c r="E18">
        <v>15514512</v>
      </c>
      <c r="F18">
        <v>1</v>
      </c>
      <c r="G18">
        <v>15514512</v>
      </c>
      <c r="H18">
        <v>1</v>
      </c>
      <c r="I18" t="s">
        <v>267</v>
      </c>
      <c r="J18" t="s">
        <v>3</v>
      </c>
      <c r="K18" t="s">
        <v>268</v>
      </c>
      <c r="L18">
        <v>1191</v>
      </c>
      <c r="N18">
        <v>1013</v>
      </c>
      <c r="O18" t="s">
        <v>269</v>
      </c>
      <c r="P18" t="s">
        <v>269</v>
      </c>
      <c r="Q18">
        <v>1</v>
      </c>
      <c r="X18">
        <v>2.41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85</v>
      </c>
      <c r="AG18">
        <v>400.06</v>
      </c>
      <c r="AH18">
        <v>2</v>
      </c>
      <c r="AI18">
        <v>80890738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5">
      <c r="A19">
        <f>ROW(Source!A45)</f>
        <v>45</v>
      </c>
      <c r="B19">
        <v>80890739</v>
      </c>
      <c r="C19">
        <v>80890540</v>
      </c>
      <c r="D19">
        <v>80215860</v>
      </c>
      <c r="E19">
        <v>1</v>
      </c>
      <c r="F19">
        <v>1</v>
      </c>
      <c r="G19">
        <v>15514512</v>
      </c>
      <c r="H19">
        <v>3</v>
      </c>
      <c r="I19" t="s">
        <v>282</v>
      </c>
      <c r="J19" t="s">
        <v>283</v>
      </c>
      <c r="K19" t="s">
        <v>284</v>
      </c>
      <c r="L19">
        <v>1354</v>
      </c>
      <c r="N19">
        <v>1010</v>
      </c>
      <c r="O19" t="s">
        <v>285</v>
      </c>
      <c r="P19" t="s">
        <v>285</v>
      </c>
      <c r="Q19">
        <v>1</v>
      </c>
      <c r="X19">
        <v>100</v>
      </c>
      <c r="Y19">
        <v>2.75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85</v>
      </c>
      <c r="AG19">
        <v>16600</v>
      </c>
      <c r="AH19">
        <v>2</v>
      </c>
      <c r="AI19">
        <v>80890739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5">
      <c r="A20">
        <f>ROW(Source!A46)</f>
        <v>46</v>
      </c>
      <c r="B20">
        <v>80892479</v>
      </c>
      <c r="C20">
        <v>80892477</v>
      </c>
      <c r="D20">
        <v>80199986</v>
      </c>
      <c r="E20">
        <v>15514512</v>
      </c>
      <c r="F20">
        <v>1</v>
      </c>
      <c r="G20">
        <v>15514512</v>
      </c>
      <c r="H20">
        <v>1</v>
      </c>
      <c r="I20" t="s">
        <v>267</v>
      </c>
      <c r="J20" t="s">
        <v>3</v>
      </c>
      <c r="K20" t="s">
        <v>268</v>
      </c>
      <c r="L20">
        <v>1191</v>
      </c>
      <c r="N20">
        <v>1013</v>
      </c>
      <c r="O20" t="s">
        <v>269</v>
      </c>
      <c r="P20" t="s">
        <v>269</v>
      </c>
      <c r="Q20">
        <v>1</v>
      </c>
      <c r="X20">
        <v>0.23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3</v>
      </c>
      <c r="AG20">
        <v>0.23</v>
      </c>
      <c r="AH20">
        <v>2</v>
      </c>
      <c r="AI20">
        <v>80892478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5">
      <c r="A21">
        <f>ROW(Source!A47)</f>
        <v>47</v>
      </c>
      <c r="B21">
        <v>80890746</v>
      </c>
      <c r="C21">
        <v>80890543</v>
      </c>
      <c r="D21">
        <v>80199986</v>
      </c>
      <c r="E21">
        <v>15514512</v>
      </c>
      <c r="F21">
        <v>1</v>
      </c>
      <c r="G21">
        <v>15514512</v>
      </c>
      <c r="H21">
        <v>1</v>
      </c>
      <c r="I21" t="s">
        <v>267</v>
      </c>
      <c r="J21" t="s">
        <v>3</v>
      </c>
      <c r="K21" t="s">
        <v>268</v>
      </c>
      <c r="L21">
        <v>1191</v>
      </c>
      <c r="N21">
        <v>1013</v>
      </c>
      <c r="O21" t="s">
        <v>269</v>
      </c>
      <c r="P21" t="s">
        <v>269</v>
      </c>
      <c r="Q21">
        <v>1</v>
      </c>
      <c r="X21">
        <v>3.09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85</v>
      </c>
      <c r="AG21">
        <v>512.93999999999994</v>
      </c>
      <c r="AH21">
        <v>2</v>
      </c>
      <c r="AI21">
        <v>80890746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5">
      <c r="A22">
        <f>ROW(Source!A83)</f>
        <v>83</v>
      </c>
      <c r="B22">
        <v>80890747</v>
      </c>
      <c r="C22">
        <v>80890602</v>
      </c>
      <c r="D22">
        <v>80213221</v>
      </c>
      <c r="E22">
        <v>1</v>
      </c>
      <c r="F22">
        <v>1</v>
      </c>
      <c r="G22">
        <v>15514512</v>
      </c>
      <c r="H22">
        <v>2</v>
      </c>
      <c r="I22" t="s">
        <v>270</v>
      </c>
      <c r="J22" t="s">
        <v>271</v>
      </c>
      <c r="K22" t="s">
        <v>272</v>
      </c>
      <c r="L22">
        <v>1368</v>
      </c>
      <c r="N22">
        <v>1011</v>
      </c>
      <c r="O22" t="s">
        <v>266</v>
      </c>
      <c r="P22" t="s">
        <v>266</v>
      </c>
      <c r="Q22">
        <v>1</v>
      </c>
      <c r="X22">
        <v>0.26</v>
      </c>
      <c r="Y22">
        <v>0</v>
      </c>
      <c r="Z22">
        <v>1783.28</v>
      </c>
      <c r="AA22">
        <v>842.87</v>
      </c>
      <c r="AB22">
        <v>0</v>
      </c>
      <c r="AC22">
        <v>0</v>
      </c>
      <c r="AD22">
        <v>1</v>
      </c>
      <c r="AE22">
        <v>0</v>
      </c>
      <c r="AF22" t="s">
        <v>149</v>
      </c>
      <c r="AG22">
        <v>44.46</v>
      </c>
      <c r="AH22">
        <v>2</v>
      </c>
      <c r="AI22">
        <v>80890747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5">
      <c r="A23">
        <f>ROW(Source!A83)</f>
        <v>83</v>
      </c>
      <c r="B23">
        <v>80890748</v>
      </c>
      <c r="C23">
        <v>80890602</v>
      </c>
      <c r="D23">
        <v>80215470</v>
      </c>
      <c r="E23">
        <v>1</v>
      </c>
      <c r="F23">
        <v>1</v>
      </c>
      <c r="G23">
        <v>15514512</v>
      </c>
      <c r="H23">
        <v>3</v>
      </c>
      <c r="I23" t="s">
        <v>37</v>
      </c>
      <c r="J23" t="s">
        <v>40</v>
      </c>
      <c r="K23" t="s">
        <v>38</v>
      </c>
      <c r="L23">
        <v>1339</v>
      </c>
      <c r="N23">
        <v>1007</v>
      </c>
      <c r="O23" t="s">
        <v>39</v>
      </c>
      <c r="P23" t="s">
        <v>39</v>
      </c>
      <c r="Q23">
        <v>1</v>
      </c>
      <c r="X23">
        <v>0.2</v>
      </c>
      <c r="Y23">
        <v>54.81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149</v>
      </c>
      <c r="AG23">
        <v>34.200000000000003</v>
      </c>
      <c r="AH23">
        <v>2</v>
      </c>
      <c r="AI23">
        <v>80890748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5">
      <c r="A24">
        <f>ROW(Source!A85)</f>
        <v>85</v>
      </c>
      <c r="B24">
        <v>80890750</v>
      </c>
      <c r="C24">
        <v>80890603</v>
      </c>
      <c r="D24">
        <v>80199986</v>
      </c>
      <c r="E24">
        <v>15514512</v>
      </c>
      <c r="F24">
        <v>1</v>
      </c>
      <c r="G24">
        <v>15514512</v>
      </c>
      <c r="H24">
        <v>1</v>
      </c>
      <c r="I24" t="s">
        <v>267</v>
      </c>
      <c r="J24" t="s">
        <v>3</v>
      </c>
      <c r="K24" t="s">
        <v>268</v>
      </c>
      <c r="L24">
        <v>1191</v>
      </c>
      <c r="N24">
        <v>1013</v>
      </c>
      <c r="O24" t="s">
        <v>269</v>
      </c>
      <c r="P24" t="s">
        <v>269</v>
      </c>
      <c r="Q24">
        <v>1</v>
      </c>
      <c r="X24">
        <v>0.14000000000000001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149</v>
      </c>
      <c r="AG24">
        <v>23.94</v>
      </c>
      <c r="AH24">
        <v>2</v>
      </c>
      <c r="AI24">
        <v>80890750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5">
      <c r="A25">
        <f>ROW(Source!A86)</f>
        <v>86</v>
      </c>
      <c r="B25">
        <v>80890751</v>
      </c>
      <c r="C25">
        <v>80890604</v>
      </c>
      <c r="D25">
        <v>80199986</v>
      </c>
      <c r="E25">
        <v>15514512</v>
      </c>
      <c r="F25">
        <v>1</v>
      </c>
      <c r="G25">
        <v>15514512</v>
      </c>
      <c r="H25">
        <v>1</v>
      </c>
      <c r="I25" t="s">
        <v>267</v>
      </c>
      <c r="J25" t="s">
        <v>3</v>
      </c>
      <c r="K25" t="s">
        <v>268</v>
      </c>
      <c r="L25">
        <v>1191</v>
      </c>
      <c r="N25">
        <v>1013</v>
      </c>
      <c r="O25" t="s">
        <v>269</v>
      </c>
      <c r="P25" t="s">
        <v>269</v>
      </c>
      <c r="Q25">
        <v>1</v>
      </c>
      <c r="X25">
        <v>0.24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149</v>
      </c>
      <c r="AG25">
        <v>41.04</v>
      </c>
      <c r="AH25">
        <v>2</v>
      </c>
      <c r="AI25">
        <v>80890751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5">
      <c r="A26">
        <f>ROW(Source!A87)</f>
        <v>87</v>
      </c>
      <c r="B26">
        <v>80890752</v>
      </c>
      <c r="C26">
        <v>80890605</v>
      </c>
      <c r="D26">
        <v>80199986</v>
      </c>
      <c r="E26">
        <v>15514512</v>
      </c>
      <c r="F26">
        <v>1</v>
      </c>
      <c r="G26">
        <v>15514512</v>
      </c>
      <c r="H26">
        <v>1</v>
      </c>
      <c r="I26" t="s">
        <v>267</v>
      </c>
      <c r="J26" t="s">
        <v>3</v>
      </c>
      <c r="K26" t="s">
        <v>268</v>
      </c>
      <c r="L26">
        <v>1191</v>
      </c>
      <c r="N26">
        <v>1013</v>
      </c>
      <c r="O26" t="s">
        <v>269</v>
      </c>
      <c r="P26" t="s">
        <v>269</v>
      </c>
      <c r="Q26">
        <v>1</v>
      </c>
      <c r="X26">
        <v>0.23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149</v>
      </c>
      <c r="AG26">
        <v>39.33</v>
      </c>
      <c r="AH26">
        <v>2</v>
      </c>
      <c r="AI26">
        <v>80890752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5">
      <c r="A27">
        <f>ROW(Source!A87)</f>
        <v>87</v>
      </c>
      <c r="B27">
        <v>80890753</v>
      </c>
      <c r="C27">
        <v>80890605</v>
      </c>
      <c r="D27">
        <v>80215860</v>
      </c>
      <c r="E27">
        <v>1</v>
      </c>
      <c r="F27">
        <v>1</v>
      </c>
      <c r="G27">
        <v>15514512</v>
      </c>
      <c r="H27">
        <v>3</v>
      </c>
      <c r="I27" t="s">
        <v>282</v>
      </c>
      <c r="J27" t="s">
        <v>283</v>
      </c>
      <c r="K27" t="s">
        <v>284</v>
      </c>
      <c r="L27">
        <v>1354</v>
      </c>
      <c r="N27">
        <v>1010</v>
      </c>
      <c r="O27" t="s">
        <v>285</v>
      </c>
      <c r="P27" t="s">
        <v>285</v>
      </c>
      <c r="Q27">
        <v>1</v>
      </c>
      <c r="X27">
        <v>1</v>
      </c>
      <c r="Y27">
        <v>2.75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149</v>
      </c>
      <c r="AG27">
        <v>171</v>
      </c>
      <c r="AH27">
        <v>2</v>
      </c>
      <c r="AI27">
        <v>80890753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5">
      <c r="A28">
        <f>ROW(Source!A88)</f>
        <v>88</v>
      </c>
      <c r="B28">
        <v>80890754</v>
      </c>
      <c r="C28">
        <v>80890606</v>
      </c>
      <c r="D28">
        <v>80213221</v>
      </c>
      <c r="E28">
        <v>1</v>
      </c>
      <c r="F28">
        <v>1</v>
      </c>
      <c r="G28">
        <v>15514512</v>
      </c>
      <c r="H28">
        <v>2</v>
      </c>
      <c r="I28" t="s">
        <v>270</v>
      </c>
      <c r="J28" t="s">
        <v>271</v>
      </c>
      <c r="K28" t="s">
        <v>272</v>
      </c>
      <c r="L28">
        <v>1368</v>
      </c>
      <c r="N28">
        <v>1011</v>
      </c>
      <c r="O28" t="s">
        <v>266</v>
      </c>
      <c r="P28" t="s">
        <v>266</v>
      </c>
      <c r="Q28">
        <v>1</v>
      </c>
      <c r="X28">
        <v>0.42</v>
      </c>
      <c r="Y28">
        <v>0</v>
      </c>
      <c r="Z28">
        <v>1783.28</v>
      </c>
      <c r="AA28">
        <v>842.87</v>
      </c>
      <c r="AB28">
        <v>0</v>
      </c>
      <c r="AC28">
        <v>0</v>
      </c>
      <c r="AD28">
        <v>1</v>
      </c>
      <c r="AE28">
        <v>0</v>
      </c>
      <c r="AF28" t="s">
        <v>161</v>
      </c>
      <c r="AG28">
        <v>4.2</v>
      </c>
      <c r="AH28">
        <v>2</v>
      </c>
      <c r="AI28">
        <v>80890754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5">
      <c r="A29">
        <f>ROW(Source!A88)</f>
        <v>88</v>
      </c>
      <c r="B29">
        <v>80890755</v>
      </c>
      <c r="C29">
        <v>80890606</v>
      </c>
      <c r="D29">
        <v>80215470</v>
      </c>
      <c r="E29">
        <v>1</v>
      </c>
      <c r="F29">
        <v>1</v>
      </c>
      <c r="G29">
        <v>15514512</v>
      </c>
      <c r="H29">
        <v>3</v>
      </c>
      <c r="I29" t="s">
        <v>37</v>
      </c>
      <c r="J29" t="s">
        <v>40</v>
      </c>
      <c r="K29" t="s">
        <v>38</v>
      </c>
      <c r="L29">
        <v>1339</v>
      </c>
      <c r="N29">
        <v>1007</v>
      </c>
      <c r="O29" t="s">
        <v>39</v>
      </c>
      <c r="P29" t="s">
        <v>39</v>
      </c>
      <c r="Q29">
        <v>1</v>
      </c>
      <c r="X29">
        <v>0.35</v>
      </c>
      <c r="Y29">
        <v>54.81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161</v>
      </c>
      <c r="AG29">
        <v>3.5</v>
      </c>
      <c r="AH29">
        <v>2</v>
      </c>
      <c r="AI29">
        <v>80890755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5">
      <c r="A30">
        <f>ROW(Source!A90)</f>
        <v>90</v>
      </c>
      <c r="B30">
        <v>80890757</v>
      </c>
      <c r="C30">
        <v>80890607</v>
      </c>
      <c r="D30">
        <v>80213221</v>
      </c>
      <c r="E30">
        <v>1</v>
      </c>
      <c r="F30">
        <v>1</v>
      </c>
      <c r="G30">
        <v>15514512</v>
      </c>
      <c r="H30">
        <v>2</v>
      </c>
      <c r="I30" t="s">
        <v>270</v>
      </c>
      <c r="J30" t="s">
        <v>271</v>
      </c>
      <c r="K30" t="s">
        <v>272</v>
      </c>
      <c r="L30">
        <v>1368</v>
      </c>
      <c r="N30">
        <v>1011</v>
      </c>
      <c r="O30" t="s">
        <v>266</v>
      </c>
      <c r="P30" t="s">
        <v>266</v>
      </c>
      <c r="Q30">
        <v>1</v>
      </c>
      <c r="X30">
        <v>0.66</v>
      </c>
      <c r="Y30">
        <v>0</v>
      </c>
      <c r="Z30">
        <v>1783.28</v>
      </c>
      <c r="AA30">
        <v>842.87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0.66</v>
      </c>
      <c r="AH30">
        <v>2</v>
      </c>
      <c r="AI30">
        <v>80890757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5">
      <c r="A31">
        <f>ROW(Source!A90)</f>
        <v>90</v>
      </c>
      <c r="B31">
        <v>80890758</v>
      </c>
      <c r="C31">
        <v>80890607</v>
      </c>
      <c r="D31">
        <v>80215394</v>
      </c>
      <c r="E31">
        <v>1</v>
      </c>
      <c r="F31">
        <v>1</v>
      </c>
      <c r="G31">
        <v>15514512</v>
      </c>
      <c r="H31">
        <v>3</v>
      </c>
      <c r="I31" t="s">
        <v>286</v>
      </c>
      <c r="J31" t="s">
        <v>287</v>
      </c>
      <c r="K31" t="s">
        <v>288</v>
      </c>
      <c r="L31">
        <v>1296</v>
      </c>
      <c r="N31">
        <v>1002</v>
      </c>
      <c r="O31" t="s">
        <v>250</v>
      </c>
      <c r="P31" t="s">
        <v>250</v>
      </c>
      <c r="Q31">
        <v>1</v>
      </c>
      <c r="X31">
        <v>1.1200000000000001</v>
      </c>
      <c r="Y31">
        <v>256.36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1.1200000000000001</v>
      </c>
      <c r="AH31">
        <v>2</v>
      </c>
      <c r="AI31">
        <v>80890758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5">
      <c r="A32">
        <f>ROW(Source!A90)</f>
        <v>90</v>
      </c>
      <c r="B32">
        <v>80890759</v>
      </c>
      <c r="C32">
        <v>80890607</v>
      </c>
      <c r="D32">
        <v>80215470</v>
      </c>
      <c r="E32">
        <v>1</v>
      </c>
      <c r="F32">
        <v>1</v>
      </c>
      <c r="G32">
        <v>15514512</v>
      </c>
      <c r="H32">
        <v>3</v>
      </c>
      <c r="I32" t="s">
        <v>37</v>
      </c>
      <c r="J32" t="s">
        <v>40</v>
      </c>
      <c r="K32" t="s">
        <v>38</v>
      </c>
      <c r="L32">
        <v>1339</v>
      </c>
      <c r="N32">
        <v>1007</v>
      </c>
      <c r="O32" t="s">
        <v>39</v>
      </c>
      <c r="P32" t="s">
        <v>39</v>
      </c>
      <c r="Q32">
        <v>1</v>
      </c>
      <c r="X32">
        <v>1.1200000000000001</v>
      </c>
      <c r="Y32">
        <v>54.81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1.1200000000000001</v>
      </c>
      <c r="AH32">
        <v>2</v>
      </c>
      <c r="AI32">
        <v>80890759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5">
      <c r="A33">
        <f>ROW(Source!A92)</f>
        <v>92</v>
      </c>
      <c r="B33">
        <v>80890761</v>
      </c>
      <c r="C33">
        <v>80890608</v>
      </c>
      <c r="D33">
        <v>80199986</v>
      </c>
      <c r="E33">
        <v>15514512</v>
      </c>
      <c r="F33">
        <v>1</v>
      </c>
      <c r="G33">
        <v>15514512</v>
      </c>
      <c r="H33">
        <v>1</v>
      </c>
      <c r="I33" t="s">
        <v>267</v>
      </c>
      <c r="J33" t="s">
        <v>3</v>
      </c>
      <c r="K33" t="s">
        <v>268</v>
      </c>
      <c r="L33">
        <v>1191</v>
      </c>
      <c r="N33">
        <v>1013</v>
      </c>
      <c r="O33" t="s">
        <v>269</v>
      </c>
      <c r="P33" t="s">
        <v>269</v>
      </c>
      <c r="Q33">
        <v>1</v>
      </c>
      <c r="X33">
        <v>5.25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170</v>
      </c>
      <c r="AG33">
        <v>99.75</v>
      </c>
      <c r="AH33">
        <v>2</v>
      </c>
      <c r="AI33">
        <v>80890761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5">
      <c r="A34">
        <f>ROW(Source!A92)</f>
        <v>92</v>
      </c>
      <c r="B34">
        <v>80890762</v>
      </c>
      <c r="C34">
        <v>80890608</v>
      </c>
      <c r="D34">
        <v>80215377</v>
      </c>
      <c r="E34">
        <v>1</v>
      </c>
      <c r="F34">
        <v>1</v>
      </c>
      <c r="G34">
        <v>15514512</v>
      </c>
      <c r="H34">
        <v>3</v>
      </c>
      <c r="I34" t="s">
        <v>289</v>
      </c>
      <c r="J34" t="s">
        <v>290</v>
      </c>
      <c r="K34" t="s">
        <v>291</v>
      </c>
      <c r="L34">
        <v>1346</v>
      </c>
      <c r="N34">
        <v>1009</v>
      </c>
      <c r="O34" t="s">
        <v>220</v>
      </c>
      <c r="P34" t="s">
        <v>220</v>
      </c>
      <c r="Q34">
        <v>1</v>
      </c>
      <c r="X34">
        <v>0.03</v>
      </c>
      <c r="Y34">
        <v>46.9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170</v>
      </c>
      <c r="AG34">
        <v>0.56999999999999995</v>
      </c>
      <c r="AH34">
        <v>2</v>
      </c>
      <c r="AI34">
        <v>80890762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5">
      <c r="A35">
        <f>ROW(Source!A92)</f>
        <v>92</v>
      </c>
      <c r="B35">
        <v>80890763</v>
      </c>
      <c r="C35">
        <v>80890608</v>
      </c>
      <c r="D35">
        <v>80215470</v>
      </c>
      <c r="E35">
        <v>1</v>
      </c>
      <c r="F35">
        <v>1</v>
      </c>
      <c r="G35">
        <v>15514512</v>
      </c>
      <c r="H35">
        <v>3</v>
      </c>
      <c r="I35" t="s">
        <v>37</v>
      </c>
      <c r="J35" t="s">
        <v>40</v>
      </c>
      <c r="K35" t="s">
        <v>38</v>
      </c>
      <c r="L35">
        <v>1339</v>
      </c>
      <c r="N35">
        <v>1007</v>
      </c>
      <c r="O35" t="s">
        <v>39</v>
      </c>
      <c r="P35" t="s">
        <v>39</v>
      </c>
      <c r="Q35">
        <v>1</v>
      </c>
      <c r="X35">
        <v>0.01</v>
      </c>
      <c r="Y35">
        <v>54.81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170</v>
      </c>
      <c r="AG35">
        <v>0.19</v>
      </c>
      <c r="AH35">
        <v>2</v>
      </c>
      <c r="AI35">
        <v>80890763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5">
      <c r="A36">
        <f>ROW(Source!A93)</f>
        <v>93</v>
      </c>
      <c r="B36">
        <v>80890768</v>
      </c>
      <c r="C36">
        <v>80890610</v>
      </c>
      <c r="D36">
        <v>80199986</v>
      </c>
      <c r="E36">
        <v>15514512</v>
      </c>
      <c r="F36">
        <v>1</v>
      </c>
      <c r="G36">
        <v>15514512</v>
      </c>
      <c r="H36">
        <v>1</v>
      </c>
      <c r="I36" t="s">
        <v>267</v>
      </c>
      <c r="J36" t="s">
        <v>3</v>
      </c>
      <c r="K36" t="s">
        <v>268</v>
      </c>
      <c r="L36">
        <v>1191</v>
      </c>
      <c r="N36">
        <v>1013</v>
      </c>
      <c r="O36" t="s">
        <v>269</v>
      </c>
      <c r="P36" t="s">
        <v>269</v>
      </c>
      <c r="Q36">
        <v>1</v>
      </c>
      <c r="X36">
        <v>2.41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172</v>
      </c>
      <c r="AG36">
        <v>448.26000000000005</v>
      </c>
      <c r="AH36">
        <v>2</v>
      </c>
      <c r="AI36">
        <v>80890768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5">
      <c r="A37">
        <f>ROW(Source!A93)</f>
        <v>93</v>
      </c>
      <c r="B37">
        <v>80890769</v>
      </c>
      <c r="C37">
        <v>80890610</v>
      </c>
      <c r="D37">
        <v>80215860</v>
      </c>
      <c r="E37">
        <v>1</v>
      </c>
      <c r="F37">
        <v>1</v>
      </c>
      <c r="G37">
        <v>15514512</v>
      </c>
      <c r="H37">
        <v>3</v>
      </c>
      <c r="I37" t="s">
        <v>282</v>
      </c>
      <c r="J37" t="s">
        <v>283</v>
      </c>
      <c r="K37" t="s">
        <v>284</v>
      </c>
      <c r="L37">
        <v>1354</v>
      </c>
      <c r="N37">
        <v>1010</v>
      </c>
      <c r="O37" t="s">
        <v>285</v>
      </c>
      <c r="P37" t="s">
        <v>285</v>
      </c>
      <c r="Q37">
        <v>1</v>
      </c>
      <c r="X37">
        <v>100</v>
      </c>
      <c r="Y37">
        <v>2.75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172</v>
      </c>
      <c r="AG37">
        <v>18600</v>
      </c>
      <c r="AH37">
        <v>2</v>
      </c>
      <c r="AI37">
        <v>80890769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5">
      <c r="A38">
        <f>ROW(Source!A94)</f>
        <v>94</v>
      </c>
      <c r="B38">
        <v>80890770</v>
      </c>
      <c r="C38">
        <v>80890611</v>
      </c>
      <c r="D38">
        <v>80199986</v>
      </c>
      <c r="E38">
        <v>15514512</v>
      </c>
      <c r="F38">
        <v>1</v>
      </c>
      <c r="G38">
        <v>15514512</v>
      </c>
      <c r="H38">
        <v>1</v>
      </c>
      <c r="I38" t="s">
        <v>267</v>
      </c>
      <c r="J38" t="s">
        <v>3</v>
      </c>
      <c r="K38" t="s">
        <v>268</v>
      </c>
      <c r="L38">
        <v>1191</v>
      </c>
      <c r="N38">
        <v>1013</v>
      </c>
      <c r="O38" t="s">
        <v>269</v>
      </c>
      <c r="P38" t="s">
        <v>269</v>
      </c>
      <c r="Q38">
        <v>1</v>
      </c>
      <c r="X38">
        <v>12.75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177</v>
      </c>
      <c r="AG38">
        <v>165.75</v>
      </c>
      <c r="AH38">
        <v>2</v>
      </c>
      <c r="AI38">
        <v>80890770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5">
      <c r="A39">
        <f>ROW(Source!A94)</f>
        <v>94</v>
      </c>
      <c r="B39">
        <v>80890771</v>
      </c>
      <c r="C39">
        <v>80890611</v>
      </c>
      <c r="D39">
        <v>80215393</v>
      </c>
      <c r="E39">
        <v>1</v>
      </c>
      <c r="F39">
        <v>1</v>
      </c>
      <c r="G39">
        <v>15514512</v>
      </c>
      <c r="H39">
        <v>3</v>
      </c>
      <c r="I39" t="s">
        <v>292</v>
      </c>
      <c r="J39" t="s">
        <v>293</v>
      </c>
      <c r="K39" t="s">
        <v>294</v>
      </c>
      <c r="L39">
        <v>1296</v>
      </c>
      <c r="N39">
        <v>1002</v>
      </c>
      <c r="O39" t="s">
        <v>250</v>
      </c>
      <c r="P39" t="s">
        <v>250</v>
      </c>
      <c r="Q39">
        <v>1</v>
      </c>
      <c r="X39">
        <v>7.5</v>
      </c>
      <c r="Y39">
        <v>710.73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177</v>
      </c>
      <c r="AG39">
        <v>97.5</v>
      </c>
      <c r="AH39">
        <v>2</v>
      </c>
      <c r="AI39">
        <v>80890771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5">
      <c r="A40">
        <f>ROW(Source!A94)</f>
        <v>94</v>
      </c>
      <c r="B40">
        <v>80890772</v>
      </c>
      <c r="C40">
        <v>80890611</v>
      </c>
      <c r="D40">
        <v>80215470</v>
      </c>
      <c r="E40">
        <v>1</v>
      </c>
      <c r="F40">
        <v>1</v>
      </c>
      <c r="G40">
        <v>15514512</v>
      </c>
      <c r="H40">
        <v>3</v>
      </c>
      <c r="I40" t="s">
        <v>37</v>
      </c>
      <c r="J40" t="s">
        <v>40</v>
      </c>
      <c r="K40" t="s">
        <v>38</v>
      </c>
      <c r="L40">
        <v>1339</v>
      </c>
      <c r="N40">
        <v>1007</v>
      </c>
      <c r="O40" t="s">
        <v>39</v>
      </c>
      <c r="P40" t="s">
        <v>39</v>
      </c>
      <c r="Q40">
        <v>1</v>
      </c>
      <c r="X40">
        <v>1.5</v>
      </c>
      <c r="Y40">
        <v>54.81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177</v>
      </c>
      <c r="AG40">
        <v>19.5</v>
      </c>
      <c r="AH40">
        <v>2</v>
      </c>
      <c r="AI40">
        <v>80890772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5">
      <c r="A41">
        <f>ROW(Source!A94)</f>
        <v>94</v>
      </c>
      <c r="B41">
        <v>80890773</v>
      </c>
      <c r="C41">
        <v>80890611</v>
      </c>
      <c r="D41">
        <v>80215860</v>
      </c>
      <c r="E41">
        <v>1</v>
      </c>
      <c r="F41">
        <v>1</v>
      </c>
      <c r="G41">
        <v>15514512</v>
      </c>
      <c r="H41">
        <v>3</v>
      </c>
      <c r="I41" t="s">
        <v>282</v>
      </c>
      <c r="J41" t="s">
        <v>283</v>
      </c>
      <c r="K41" t="s">
        <v>284</v>
      </c>
      <c r="L41">
        <v>1354</v>
      </c>
      <c r="N41">
        <v>1010</v>
      </c>
      <c r="O41" t="s">
        <v>285</v>
      </c>
      <c r="P41" t="s">
        <v>285</v>
      </c>
      <c r="Q41">
        <v>1</v>
      </c>
      <c r="X41">
        <v>100</v>
      </c>
      <c r="Y41">
        <v>2.75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177</v>
      </c>
      <c r="AG41">
        <v>1300</v>
      </c>
      <c r="AH41">
        <v>2</v>
      </c>
      <c r="AI41">
        <v>80890773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5">
      <c r="A42">
        <f>ROW(Source!A95)</f>
        <v>95</v>
      </c>
      <c r="B42">
        <v>80890774</v>
      </c>
      <c r="C42">
        <v>80890612</v>
      </c>
      <c r="D42">
        <v>80199986</v>
      </c>
      <c r="E42">
        <v>15514512</v>
      </c>
      <c r="F42">
        <v>1</v>
      </c>
      <c r="G42">
        <v>15514512</v>
      </c>
      <c r="H42">
        <v>1</v>
      </c>
      <c r="I42" t="s">
        <v>267</v>
      </c>
      <c r="J42" t="s">
        <v>3</v>
      </c>
      <c r="K42" t="s">
        <v>268</v>
      </c>
      <c r="L42">
        <v>1191</v>
      </c>
      <c r="N42">
        <v>1013</v>
      </c>
      <c r="O42" t="s">
        <v>269</v>
      </c>
      <c r="P42" t="s">
        <v>269</v>
      </c>
      <c r="Q42">
        <v>1</v>
      </c>
      <c r="X42">
        <v>0.3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149</v>
      </c>
      <c r="AG42">
        <v>51.3</v>
      </c>
      <c r="AH42">
        <v>2</v>
      </c>
      <c r="AI42">
        <v>80890774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5">
      <c r="A43">
        <f>ROW(Source!A96)</f>
        <v>96</v>
      </c>
      <c r="B43">
        <v>80890775</v>
      </c>
      <c r="C43">
        <v>80890613</v>
      </c>
      <c r="D43">
        <v>80199986</v>
      </c>
      <c r="E43">
        <v>15514512</v>
      </c>
      <c r="F43">
        <v>1</v>
      </c>
      <c r="G43">
        <v>15514512</v>
      </c>
      <c r="H43">
        <v>1</v>
      </c>
      <c r="I43" t="s">
        <v>267</v>
      </c>
      <c r="J43" t="s">
        <v>3</v>
      </c>
      <c r="K43" t="s">
        <v>268</v>
      </c>
      <c r="L43">
        <v>1191</v>
      </c>
      <c r="N43">
        <v>1013</v>
      </c>
      <c r="O43" t="s">
        <v>269</v>
      </c>
      <c r="P43" t="s">
        <v>269</v>
      </c>
      <c r="Q43">
        <v>1</v>
      </c>
      <c r="X43">
        <v>1.26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187</v>
      </c>
      <c r="AG43">
        <v>3.7800000000000002</v>
      </c>
      <c r="AH43">
        <v>2</v>
      </c>
      <c r="AI43">
        <v>80890775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5">
      <c r="A44">
        <f>ROW(Source!A96)</f>
        <v>96</v>
      </c>
      <c r="B44">
        <v>80890776</v>
      </c>
      <c r="C44">
        <v>80890613</v>
      </c>
      <c r="D44">
        <v>80212965</v>
      </c>
      <c r="E44">
        <v>1</v>
      </c>
      <c r="F44">
        <v>1</v>
      </c>
      <c r="G44">
        <v>15514512</v>
      </c>
      <c r="H44">
        <v>2</v>
      </c>
      <c r="I44" t="s">
        <v>295</v>
      </c>
      <c r="J44" t="s">
        <v>296</v>
      </c>
      <c r="K44" t="s">
        <v>297</v>
      </c>
      <c r="L44">
        <v>1368</v>
      </c>
      <c r="N44">
        <v>1011</v>
      </c>
      <c r="O44" t="s">
        <v>266</v>
      </c>
      <c r="P44" t="s">
        <v>266</v>
      </c>
      <c r="Q44">
        <v>1</v>
      </c>
      <c r="X44">
        <v>0.9</v>
      </c>
      <c r="Y44">
        <v>0</v>
      </c>
      <c r="Z44">
        <v>1165.03</v>
      </c>
      <c r="AA44">
        <v>351.43</v>
      </c>
      <c r="AB44">
        <v>0</v>
      </c>
      <c r="AC44">
        <v>0</v>
      </c>
      <c r="AD44">
        <v>1</v>
      </c>
      <c r="AE44">
        <v>0</v>
      </c>
      <c r="AF44" t="s">
        <v>187</v>
      </c>
      <c r="AG44">
        <v>2.7</v>
      </c>
      <c r="AH44">
        <v>2</v>
      </c>
      <c r="AI44">
        <v>80890776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5">
      <c r="A45">
        <f>ROW(Source!A96)</f>
        <v>96</v>
      </c>
      <c r="B45">
        <v>80890777</v>
      </c>
      <c r="C45">
        <v>80890613</v>
      </c>
      <c r="D45">
        <v>80213223</v>
      </c>
      <c r="E45">
        <v>1</v>
      </c>
      <c r="F45">
        <v>1</v>
      </c>
      <c r="G45">
        <v>15514512</v>
      </c>
      <c r="H45">
        <v>2</v>
      </c>
      <c r="I45" t="s">
        <v>298</v>
      </c>
      <c r="J45" t="s">
        <v>299</v>
      </c>
      <c r="K45" t="s">
        <v>300</v>
      </c>
      <c r="L45">
        <v>1368</v>
      </c>
      <c r="N45">
        <v>1011</v>
      </c>
      <c r="O45" t="s">
        <v>266</v>
      </c>
      <c r="P45" t="s">
        <v>266</v>
      </c>
      <c r="Q45">
        <v>1</v>
      </c>
      <c r="X45">
        <v>0.99</v>
      </c>
      <c r="Y45">
        <v>0</v>
      </c>
      <c r="Z45">
        <v>1877.34</v>
      </c>
      <c r="AA45">
        <v>967.36</v>
      </c>
      <c r="AB45">
        <v>0</v>
      </c>
      <c r="AC45">
        <v>0</v>
      </c>
      <c r="AD45">
        <v>1</v>
      </c>
      <c r="AE45">
        <v>0</v>
      </c>
      <c r="AF45" t="s">
        <v>187</v>
      </c>
      <c r="AG45">
        <v>2.9699999999999998</v>
      </c>
      <c r="AH45">
        <v>2</v>
      </c>
      <c r="AI45">
        <v>80890777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5">
      <c r="A46">
        <f>ROW(Source!A96)</f>
        <v>96</v>
      </c>
      <c r="B46">
        <v>80890778</v>
      </c>
      <c r="C46">
        <v>80890613</v>
      </c>
      <c r="D46">
        <v>80215470</v>
      </c>
      <c r="E46">
        <v>1</v>
      </c>
      <c r="F46">
        <v>1</v>
      </c>
      <c r="G46">
        <v>15514512</v>
      </c>
      <c r="H46">
        <v>3</v>
      </c>
      <c r="I46" t="s">
        <v>37</v>
      </c>
      <c r="J46" t="s">
        <v>40</v>
      </c>
      <c r="K46" t="s">
        <v>38</v>
      </c>
      <c r="L46">
        <v>1339</v>
      </c>
      <c r="N46">
        <v>1007</v>
      </c>
      <c r="O46" t="s">
        <v>39</v>
      </c>
      <c r="P46" t="s">
        <v>39</v>
      </c>
      <c r="Q46">
        <v>1</v>
      </c>
      <c r="X46">
        <v>0.8</v>
      </c>
      <c r="Y46">
        <v>54.81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187</v>
      </c>
      <c r="AG46">
        <v>2.4000000000000004</v>
      </c>
      <c r="AH46">
        <v>2</v>
      </c>
      <c r="AI46">
        <v>80890778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5">
      <c r="A47">
        <f>ROW(Source!A133)</f>
        <v>133</v>
      </c>
      <c r="B47">
        <v>80890780</v>
      </c>
      <c r="C47">
        <v>80890672</v>
      </c>
      <c r="D47">
        <v>80199986</v>
      </c>
      <c r="E47">
        <v>15514512</v>
      </c>
      <c r="F47">
        <v>1</v>
      </c>
      <c r="G47">
        <v>15514512</v>
      </c>
      <c r="H47">
        <v>1</v>
      </c>
      <c r="I47" t="s">
        <v>267</v>
      </c>
      <c r="J47" t="s">
        <v>3</v>
      </c>
      <c r="K47" t="s">
        <v>268</v>
      </c>
      <c r="L47">
        <v>1191</v>
      </c>
      <c r="N47">
        <v>1013</v>
      </c>
      <c r="O47" t="s">
        <v>269</v>
      </c>
      <c r="P47" t="s">
        <v>269</v>
      </c>
      <c r="Q47">
        <v>1</v>
      </c>
      <c r="X47">
        <v>0.59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3</v>
      </c>
      <c r="AG47">
        <v>0.59</v>
      </c>
      <c r="AH47">
        <v>2</v>
      </c>
      <c r="AI47">
        <v>80890780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5">
      <c r="A48">
        <f>ROW(Source!A133)</f>
        <v>133</v>
      </c>
      <c r="B48">
        <v>80890781</v>
      </c>
      <c r="C48">
        <v>80890672</v>
      </c>
      <c r="D48">
        <v>80213222</v>
      </c>
      <c r="E48">
        <v>1</v>
      </c>
      <c r="F48">
        <v>1</v>
      </c>
      <c r="G48">
        <v>15514512</v>
      </c>
      <c r="H48">
        <v>2</v>
      </c>
      <c r="I48" t="s">
        <v>301</v>
      </c>
      <c r="J48" t="s">
        <v>302</v>
      </c>
      <c r="K48" t="s">
        <v>303</v>
      </c>
      <c r="L48">
        <v>1368</v>
      </c>
      <c r="N48">
        <v>1011</v>
      </c>
      <c r="O48" t="s">
        <v>266</v>
      </c>
      <c r="P48" t="s">
        <v>266</v>
      </c>
      <c r="Q48">
        <v>1</v>
      </c>
      <c r="X48">
        <v>0.34</v>
      </c>
      <c r="Y48">
        <v>0</v>
      </c>
      <c r="Z48">
        <v>20.7</v>
      </c>
      <c r="AA48">
        <v>0.2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0.34</v>
      </c>
      <c r="AH48">
        <v>2</v>
      </c>
      <c r="AI48">
        <v>80890781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5">
      <c r="A49">
        <f>ROW(Source!A134)</f>
        <v>134</v>
      </c>
      <c r="B49">
        <v>80890782</v>
      </c>
      <c r="C49">
        <v>80890673</v>
      </c>
      <c r="D49">
        <v>80199986</v>
      </c>
      <c r="E49">
        <v>15514512</v>
      </c>
      <c r="F49">
        <v>1</v>
      </c>
      <c r="G49">
        <v>15514512</v>
      </c>
      <c r="H49">
        <v>1</v>
      </c>
      <c r="I49" t="s">
        <v>267</v>
      </c>
      <c r="J49" t="s">
        <v>3</v>
      </c>
      <c r="K49" t="s">
        <v>268</v>
      </c>
      <c r="L49">
        <v>1191</v>
      </c>
      <c r="N49">
        <v>1013</v>
      </c>
      <c r="O49" t="s">
        <v>269</v>
      </c>
      <c r="P49" t="s">
        <v>269</v>
      </c>
      <c r="Q49">
        <v>1</v>
      </c>
      <c r="X49">
        <v>1.6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3</v>
      </c>
      <c r="AG49">
        <v>1.6</v>
      </c>
      <c r="AH49">
        <v>2</v>
      </c>
      <c r="AI49">
        <v>80890782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5">
      <c r="A50">
        <f>ROW(Source!A135)</f>
        <v>135</v>
      </c>
      <c r="B50">
        <v>80890783</v>
      </c>
      <c r="C50">
        <v>80890674</v>
      </c>
      <c r="D50">
        <v>80199986</v>
      </c>
      <c r="E50">
        <v>15514512</v>
      </c>
      <c r="F50">
        <v>1</v>
      </c>
      <c r="G50">
        <v>15514512</v>
      </c>
      <c r="H50">
        <v>1</v>
      </c>
      <c r="I50" t="s">
        <v>267</v>
      </c>
      <c r="J50" t="s">
        <v>3</v>
      </c>
      <c r="K50" t="s">
        <v>268</v>
      </c>
      <c r="L50">
        <v>1191</v>
      </c>
      <c r="N50">
        <v>1013</v>
      </c>
      <c r="O50" t="s">
        <v>269</v>
      </c>
      <c r="P50" t="s">
        <v>269</v>
      </c>
      <c r="Q50">
        <v>1</v>
      </c>
      <c r="X50">
        <v>0.48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3</v>
      </c>
      <c r="AG50">
        <v>0.48</v>
      </c>
      <c r="AH50">
        <v>2</v>
      </c>
      <c r="AI50">
        <v>80890783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5">
      <c r="A51">
        <f>ROW(Source!A135)</f>
        <v>135</v>
      </c>
      <c r="B51">
        <v>80890784</v>
      </c>
      <c r="C51">
        <v>80890674</v>
      </c>
      <c r="D51">
        <v>80213338</v>
      </c>
      <c r="E51">
        <v>1</v>
      </c>
      <c r="F51">
        <v>1</v>
      </c>
      <c r="G51">
        <v>15514512</v>
      </c>
      <c r="H51">
        <v>2</v>
      </c>
      <c r="I51" t="s">
        <v>304</v>
      </c>
      <c r="J51" t="s">
        <v>305</v>
      </c>
      <c r="K51" t="s">
        <v>306</v>
      </c>
      <c r="L51">
        <v>1368</v>
      </c>
      <c r="N51">
        <v>1011</v>
      </c>
      <c r="O51" t="s">
        <v>266</v>
      </c>
      <c r="P51" t="s">
        <v>266</v>
      </c>
      <c r="Q51">
        <v>1</v>
      </c>
      <c r="X51">
        <v>0.21</v>
      </c>
      <c r="Y51">
        <v>0</v>
      </c>
      <c r="Z51">
        <v>1650.83</v>
      </c>
      <c r="AA51">
        <v>713.72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0.21</v>
      </c>
      <c r="AH51">
        <v>2</v>
      </c>
      <c r="AI51">
        <v>80890784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5">
      <c r="A52">
        <f>ROW(Source!A135)</f>
        <v>135</v>
      </c>
      <c r="B52">
        <v>80890785</v>
      </c>
      <c r="C52">
        <v>80890674</v>
      </c>
      <c r="D52">
        <v>80215861</v>
      </c>
      <c r="E52">
        <v>1</v>
      </c>
      <c r="F52">
        <v>1</v>
      </c>
      <c r="G52">
        <v>15514512</v>
      </c>
      <c r="H52">
        <v>3</v>
      </c>
      <c r="I52" t="s">
        <v>307</v>
      </c>
      <c r="J52" t="s">
        <v>308</v>
      </c>
      <c r="K52" t="s">
        <v>309</v>
      </c>
      <c r="L52">
        <v>1354</v>
      </c>
      <c r="N52">
        <v>1010</v>
      </c>
      <c r="O52" t="s">
        <v>285</v>
      </c>
      <c r="P52" t="s">
        <v>285</v>
      </c>
      <c r="Q52">
        <v>1</v>
      </c>
      <c r="X52">
        <v>8</v>
      </c>
      <c r="Y52">
        <v>9.1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8</v>
      </c>
      <c r="AH52">
        <v>2</v>
      </c>
      <c r="AI52">
        <v>80890785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5">
      <c r="A53">
        <f>ROW(Source!A136)</f>
        <v>136</v>
      </c>
      <c r="B53">
        <v>80890786</v>
      </c>
      <c r="C53">
        <v>80890675</v>
      </c>
      <c r="D53">
        <v>80199986</v>
      </c>
      <c r="E53">
        <v>15514512</v>
      </c>
      <c r="F53">
        <v>1</v>
      </c>
      <c r="G53">
        <v>15514512</v>
      </c>
      <c r="H53">
        <v>1</v>
      </c>
      <c r="I53" t="s">
        <v>267</v>
      </c>
      <c r="J53" t="s">
        <v>3</v>
      </c>
      <c r="K53" t="s">
        <v>268</v>
      </c>
      <c r="L53">
        <v>1191</v>
      </c>
      <c r="N53">
        <v>1013</v>
      </c>
      <c r="O53" t="s">
        <v>269</v>
      </c>
      <c r="P53" t="s">
        <v>269</v>
      </c>
      <c r="Q53">
        <v>1</v>
      </c>
      <c r="X53">
        <v>0.05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205</v>
      </c>
      <c r="AG53">
        <v>9.9500000000000011</v>
      </c>
      <c r="AH53">
        <v>2</v>
      </c>
      <c r="AI53">
        <v>80890786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5">
      <c r="A54">
        <f>ROW(Source!A136)</f>
        <v>136</v>
      </c>
      <c r="B54">
        <v>80890787</v>
      </c>
      <c r="C54">
        <v>80890675</v>
      </c>
      <c r="D54">
        <v>80215861</v>
      </c>
      <c r="E54">
        <v>1</v>
      </c>
      <c r="F54">
        <v>1</v>
      </c>
      <c r="G54">
        <v>15514512</v>
      </c>
      <c r="H54">
        <v>3</v>
      </c>
      <c r="I54" t="s">
        <v>307</v>
      </c>
      <c r="J54" t="s">
        <v>308</v>
      </c>
      <c r="K54" t="s">
        <v>309</v>
      </c>
      <c r="L54">
        <v>1354</v>
      </c>
      <c r="N54">
        <v>1010</v>
      </c>
      <c r="O54" t="s">
        <v>285</v>
      </c>
      <c r="P54" t="s">
        <v>285</v>
      </c>
      <c r="Q54">
        <v>1</v>
      </c>
      <c r="X54">
        <v>0.1</v>
      </c>
      <c r="Y54">
        <v>9.1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205</v>
      </c>
      <c r="AG54">
        <v>19.900000000000002</v>
      </c>
      <c r="AH54">
        <v>2</v>
      </c>
      <c r="AI54">
        <v>80890787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5">
      <c r="A55">
        <f>ROW(Source!A137)</f>
        <v>137</v>
      </c>
      <c r="B55">
        <v>80890788</v>
      </c>
      <c r="C55">
        <v>80890676</v>
      </c>
      <c r="D55">
        <v>80199986</v>
      </c>
      <c r="E55">
        <v>15514512</v>
      </c>
      <c r="F55">
        <v>1</v>
      </c>
      <c r="G55">
        <v>15514512</v>
      </c>
      <c r="H55">
        <v>1</v>
      </c>
      <c r="I55" t="s">
        <v>267</v>
      </c>
      <c r="J55" t="s">
        <v>3</v>
      </c>
      <c r="K55" t="s">
        <v>268</v>
      </c>
      <c r="L55">
        <v>1191</v>
      </c>
      <c r="N55">
        <v>1013</v>
      </c>
      <c r="O55" t="s">
        <v>269</v>
      </c>
      <c r="P55" t="s">
        <v>269</v>
      </c>
      <c r="Q55">
        <v>1</v>
      </c>
      <c r="X55">
        <v>0.98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161</v>
      </c>
      <c r="AG55">
        <v>9.8000000000000007</v>
      </c>
      <c r="AH55">
        <v>2</v>
      </c>
      <c r="AI55">
        <v>80890788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5">
      <c r="A56">
        <f>ROW(Source!A137)</f>
        <v>137</v>
      </c>
      <c r="B56">
        <v>80890789</v>
      </c>
      <c r="C56">
        <v>80890676</v>
      </c>
      <c r="D56">
        <v>80213130</v>
      </c>
      <c r="E56">
        <v>1</v>
      </c>
      <c r="F56">
        <v>1</v>
      </c>
      <c r="G56">
        <v>15514512</v>
      </c>
      <c r="H56">
        <v>2</v>
      </c>
      <c r="I56" t="s">
        <v>310</v>
      </c>
      <c r="J56" t="s">
        <v>311</v>
      </c>
      <c r="K56" t="s">
        <v>312</v>
      </c>
      <c r="L56">
        <v>1368</v>
      </c>
      <c r="N56">
        <v>1011</v>
      </c>
      <c r="O56" t="s">
        <v>266</v>
      </c>
      <c r="P56" t="s">
        <v>266</v>
      </c>
      <c r="Q56">
        <v>1</v>
      </c>
      <c r="X56">
        <v>0.75</v>
      </c>
      <c r="Y56">
        <v>0</v>
      </c>
      <c r="Z56">
        <v>32.590000000000003</v>
      </c>
      <c r="AA56">
        <v>3.28</v>
      </c>
      <c r="AB56">
        <v>0</v>
      </c>
      <c r="AC56">
        <v>0</v>
      </c>
      <c r="AD56">
        <v>1</v>
      </c>
      <c r="AE56">
        <v>0</v>
      </c>
      <c r="AF56" t="s">
        <v>161</v>
      </c>
      <c r="AG56">
        <v>7.5</v>
      </c>
      <c r="AH56">
        <v>2</v>
      </c>
      <c r="AI56">
        <v>80890789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5">
      <c r="A57">
        <f>ROW(Source!A138)</f>
        <v>138</v>
      </c>
      <c r="B57">
        <v>80890790</v>
      </c>
      <c r="C57">
        <v>80890677</v>
      </c>
      <c r="D57">
        <v>80199986</v>
      </c>
      <c r="E57">
        <v>15514512</v>
      </c>
      <c r="F57">
        <v>1</v>
      </c>
      <c r="G57">
        <v>15514512</v>
      </c>
      <c r="H57">
        <v>1</v>
      </c>
      <c r="I57" t="s">
        <v>267</v>
      </c>
      <c r="J57" t="s">
        <v>3</v>
      </c>
      <c r="K57" t="s">
        <v>268</v>
      </c>
      <c r="L57">
        <v>1191</v>
      </c>
      <c r="N57">
        <v>1013</v>
      </c>
      <c r="O57" t="s">
        <v>269</v>
      </c>
      <c r="P57" t="s">
        <v>269</v>
      </c>
      <c r="Q57">
        <v>1</v>
      </c>
      <c r="X57">
        <v>0.56000000000000005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161</v>
      </c>
      <c r="AG57">
        <v>5.6000000000000005</v>
      </c>
      <c r="AH57">
        <v>2</v>
      </c>
      <c r="AI57">
        <v>80890790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5">
      <c r="A58">
        <f>ROW(Source!A138)</f>
        <v>138</v>
      </c>
      <c r="B58">
        <v>80890791</v>
      </c>
      <c r="C58">
        <v>80890677</v>
      </c>
      <c r="D58">
        <v>80212805</v>
      </c>
      <c r="E58">
        <v>1</v>
      </c>
      <c r="F58">
        <v>1</v>
      </c>
      <c r="G58">
        <v>15514512</v>
      </c>
      <c r="H58">
        <v>2</v>
      </c>
      <c r="I58" t="s">
        <v>313</v>
      </c>
      <c r="J58" t="s">
        <v>314</v>
      </c>
      <c r="K58" t="s">
        <v>315</v>
      </c>
      <c r="L58">
        <v>1368</v>
      </c>
      <c r="N58">
        <v>1011</v>
      </c>
      <c r="O58" t="s">
        <v>266</v>
      </c>
      <c r="P58" t="s">
        <v>266</v>
      </c>
      <c r="Q58">
        <v>1</v>
      </c>
      <c r="X58">
        <v>0.3</v>
      </c>
      <c r="Y58">
        <v>0</v>
      </c>
      <c r="Z58">
        <v>2997.56</v>
      </c>
      <c r="AA58">
        <v>1034.8599999999999</v>
      </c>
      <c r="AB58">
        <v>0</v>
      </c>
      <c r="AC58">
        <v>0</v>
      </c>
      <c r="AD58">
        <v>1</v>
      </c>
      <c r="AE58">
        <v>0</v>
      </c>
      <c r="AF58" t="s">
        <v>161</v>
      </c>
      <c r="AG58">
        <v>3</v>
      </c>
      <c r="AH58">
        <v>2</v>
      </c>
      <c r="AI58">
        <v>80890791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5">
      <c r="A59">
        <f>ROW(Source!A138)</f>
        <v>138</v>
      </c>
      <c r="B59">
        <v>80890792</v>
      </c>
      <c r="C59">
        <v>80890677</v>
      </c>
      <c r="D59">
        <v>80215470</v>
      </c>
      <c r="E59">
        <v>1</v>
      </c>
      <c r="F59">
        <v>1</v>
      </c>
      <c r="G59">
        <v>15514512</v>
      </c>
      <c r="H59">
        <v>3</v>
      </c>
      <c r="I59" t="s">
        <v>37</v>
      </c>
      <c r="J59" t="s">
        <v>40</v>
      </c>
      <c r="K59" t="s">
        <v>38</v>
      </c>
      <c r="L59">
        <v>1339</v>
      </c>
      <c r="N59">
        <v>1007</v>
      </c>
      <c r="O59" t="s">
        <v>39</v>
      </c>
      <c r="P59" t="s">
        <v>39</v>
      </c>
      <c r="Q59">
        <v>1</v>
      </c>
      <c r="X59">
        <v>1</v>
      </c>
      <c r="Y59">
        <v>54.81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161</v>
      </c>
      <c r="AG59">
        <v>10</v>
      </c>
      <c r="AH59">
        <v>2</v>
      </c>
      <c r="AI59">
        <v>80890792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5">
      <c r="A60">
        <f>ROW(Source!A140)</f>
        <v>140</v>
      </c>
      <c r="B60">
        <v>80890794</v>
      </c>
      <c r="C60">
        <v>80890678</v>
      </c>
      <c r="D60">
        <v>80199986</v>
      </c>
      <c r="E60">
        <v>15514512</v>
      </c>
      <c r="F60">
        <v>1</v>
      </c>
      <c r="G60">
        <v>15514512</v>
      </c>
      <c r="H60">
        <v>1</v>
      </c>
      <c r="I60" t="s">
        <v>267</v>
      </c>
      <c r="J60" t="s">
        <v>3</v>
      </c>
      <c r="K60" t="s">
        <v>268</v>
      </c>
      <c r="L60">
        <v>1191</v>
      </c>
      <c r="N60">
        <v>1013</v>
      </c>
      <c r="O60" t="s">
        <v>269</v>
      </c>
      <c r="P60" t="s">
        <v>269</v>
      </c>
      <c r="Q60">
        <v>1</v>
      </c>
      <c r="X60">
        <v>0.7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1</v>
      </c>
      <c r="AF60" t="s">
        <v>3</v>
      </c>
      <c r="AG60">
        <v>0.7</v>
      </c>
      <c r="AH60">
        <v>2</v>
      </c>
      <c r="AI60">
        <v>80890794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5">
      <c r="A61">
        <f>ROW(Source!A140)</f>
        <v>140</v>
      </c>
      <c r="B61">
        <v>80890795</v>
      </c>
      <c r="C61">
        <v>80890678</v>
      </c>
      <c r="D61">
        <v>80200071</v>
      </c>
      <c r="E61">
        <v>15514512</v>
      </c>
      <c r="F61">
        <v>1</v>
      </c>
      <c r="G61">
        <v>15514512</v>
      </c>
      <c r="H61">
        <v>3</v>
      </c>
      <c r="I61" t="s">
        <v>319</v>
      </c>
      <c r="J61" t="s">
        <v>3</v>
      </c>
      <c r="K61" t="s">
        <v>320</v>
      </c>
      <c r="L61">
        <v>1346</v>
      </c>
      <c r="N61">
        <v>1009</v>
      </c>
      <c r="O61" t="s">
        <v>220</v>
      </c>
      <c r="P61" t="s">
        <v>220</v>
      </c>
      <c r="Q61">
        <v>1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 t="s">
        <v>3</v>
      </c>
      <c r="AG61">
        <v>0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5">
      <c r="A62">
        <f>ROW(Source!A142)</f>
        <v>142</v>
      </c>
      <c r="B62">
        <v>80890801</v>
      </c>
      <c r="C62">
        <v>80890682</v>
      </c>
      <c r="D62">
        <v>80199986</v>
      </c>
      <c r="E62">
        <v>15514512</v>
      </c>
      <c r="F62">
        <v>1</v>
      </c>
      <c r="G62">
        <v>15514512</v>
      </c>
      <c r="H62">
        <v>1</v>
      </c>
      <c r="I62" t="s">
        <v>267</v>
      </c>
      <c r="J62" t="s">
        <v>3</v>
      </c>
      <c r="K62" t="s">
        <v>268</v>
      </c>
      <c r="L62">
        <v>1191</v>
      </c>
      <c r="N62">
        <v>1013</v>
      </c>
      <c r="O62" t="s">
        <v>269</v>
      </c>
      <c r="P62" t="s">
        <v>269</v>
      </c>
      <c r="Q62">
        <v>1</v>
      </c>
      <c r="X62">
        <v>1.73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1</v>
      </c>
      <c r="AF62" t="s">
        <v>3</v>
      </c>
      <c r="AG62">
        <v>1.73</v>
      </c>
      <c r="AH62">
        <v>2</v>
      </c>
      <c r="AI62">
        <v>80890801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5">
      <c r="A63">
        <f>ROW(Source!A143)</f>
        <v>143</v>
      </c>
      <c r="B63">
        <v>80890888</v>
      </c>
      <c r="C63">
        <v>80890884</v>
      </c>
      <c r="D63">
        <v>80199986</v>
      </c>
      <c r="E63">
        <v>15514512</v>
      </c>
      <c r="F63">
        <v>1</v>
      </c>
      <c r="G63">
        <v>15514512</v>
      </c>
      <c r="H63">
        <v>1</v>
      </c>
      <c r="I63" t="s">
        <v>267</v>
      </c>
      <c r="J63" t="s">
        <v>3</v>
      </c>
      <c r="K63" t="s">
        <v>268</v>
      </c>
      <c r="L63">
        <v>1191</v>
      </c>
      <c r="N63">
        <v>1013</v>
      </c>
      <c r="O63" t="s">
        <v>269</v>
      </c>
      <c r="P63" t="s">
        <v>269</v>
      </c>
      <c r="Q63">
        <v>1</v>
      </c>
      <c r="X63">
        <v>0.56000000000000005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66</v>
      </c>
      <c r="AG63">
        <v>11.200000000000001</v>
      </c>
      <c r="AH63">
        <v>2</v>
      </c>
      <c r="AI63">
        <v>80890885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5">
      <c r="A64">
        <f>ROW(Source!A143)</f>
        <v>143</v>
      </c>
      <c r="B64">
        <v>80890889</v>
      </c>
      <c r="C64">
        <v>80890884</v>
      </c>
      <c r="D64">
        <v>80212805</v>
      </c>
      <c r="E64">
        <v>1</v>
      </c>
      <c r="F64">
        <v>1</v>
      </c>
      <c r="G64">
        <v>15514512</v>
      </c>
      <c r="H64">
        <v>2</v>
      </c>
      <c r="I64" t="s">
        <v>313</v>
      </c>
      <c r="J64" t="s">
        <v>314</v>
      </c>
      <c r="K64" t="s">
        <v>315</v>
      </c>
      <c r="L64">
        <v>1368</v>
      </c>
      <c r="N64">
        <v>1011</v>
      </c>
      <c r="O64" t="s">
        <v>266</v>
      </c>
      <c r="P64" t="s">
        <v>266</v>
      </c>
      <c r="Q64">
        <v>1</v>
      </c>
      <c r="X64">
        <v>0.3</v>
      </c>
      <c r="Y64">
        <v>0</v>
      </c>
      <c r="Z64">
        <v>2997.56</v>
      </c>
      <c r="AA64">
        <v>1034.8599999999999</v>
      </c>
      <c r="AB64">
        <v>0</v>
      </c>
      <c r="AC64">
        <v>0</v>
      </c>
      <c r="AD64">
        <v>1</v>
      </c>
      <c r="AE64">
        <v>0</v>
      </c>
      <c r="AF64" t="s">
        <v>66</v>
      </c>
      <c r="AG64">
        <v>6</v>
      </c>
      <c r="AH64">
        <v>2</v>
      </c>
      <c r="AI64">
        <v>80890886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5">
      <c r="A65">
        <f>ROW(Source!A143)</f>
        <v>143</v>
      </c>
      <c r="B65">
        <v>80890890</v>
      </c>
      <c r="C65">
        <v>80890884</v>
      </c>
      <c r="D65">
        <v>80215470</v>
      </c>
      <c r="E65">
        <v>1</v>
      </c>
      <c r="F65">
        <v>1</v>
      </c>
      <c r="G65">
        <v>15514512</v>
      </c>
      <c r="H65">
        <v>3</v>
      </c>
      <c r="I65" t="s">
        <v>37</v>
      </c>
      <c r="J65" t="s">
        <v>40</v>
      </c>
      <c r="K65" t="s">
        <v>38</v>
      </c>
      <c r="L65">
        <v>1339</v>
      </c>
      <c r="N65">
        <v>1007</v>
      </c>
      <c r="O65" t="s">
        <v>39</v>
      </c>
      <c r="P65" t="s">
        <v>39</v>
      </c>
      <c r="Q65">
        <v>1</v>
      </c>
      <c r="X65">
        <v>1</v>
      </c>
      <c r="Y65">
        <v>54.81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66</v>
      </c>
      <c r="AG65">
        <v>20</v>
      </c>
      <c r="AH65">
        <v>2</v>
      </c>
      <c r="AI65">
        <v>80890887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5">
      <c r="A66">
        <f>ROW(Source!A145)</f>
        <v>145</v>
      </c>
      <c r="B66">
        <v>80890806</v>
      </c>
      <c r="C66">
        <v>80890684</v>
      </c>
      <c r="D66">
        <v>80199986</v>
      </c>
      <c r="E66">
        <v>15514512</v>
      </c>
      <c r="F66">
        <v>1</v>
      </c>
      <c r="G66">
        <v>15514512</v>
      </c>
      <c r="H66">
        <v>1</v>
      </c>
      <c r="I66" t="s">
        <v>267</v>
      </c>
      <c r="J66" t="s">
        <v>3</v>
      </c>
      <c r="K66" t="s">
        <v>268</v>
      </c>
      <c r="L66">
        <v>1191</v>
      </c>
      <c r="N66">
        <v>1013</v>
      </c>
      <c r="O66" t="s">
        <v>269</v>
      </c>
      <c r="P66" t="s">
        <v>269</v>
      </c>
      <c r="Q66">
        <v>1</v>
      </c>
      <c r="X66">
        <v>0.56000000000000005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66</v>
      </c>
      <c r="AG66">
        <v>11.200000000000001</v>
      </c>
      <c r="AH66">
        <v>2</v>
      </c>
      <c r="AI66">
        <v>80890806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5">
      <c r="A67">
        <f>ROW(Source!A145)</f>
        <v>145</v>
      </c>
      <c r="B67">
        <v>80890807</v>
      </c>
      <c r="C67">
        <v>80890684</v>
      </c>
      <c r="D67">
        <v>80212805</v>
      </c>
      <c r="E67">
        <v>1</v>
      </c>
      <c r="F67">
        <v>1</v>
      </c>
      <c r="G67">
        <v>15514512</v>
      </c>
      <c r="H67">
        <v>2</v>
      </c>
      <c r="I67" t="s">
        <v>313</v>
      </c>
      <c r="J67" t="s">
        <v>314</v>
      </c>
      <c r="K67" t="s">
        <v>315</v>
      </c>
      <c r="L67">
        <v>1368</v>
      </c>
      <c r="N67">
        <v>1011</v>
      </c>
      <c r="O67" t="s">
        <v>266</v>
      </c>
      <c r="P67" t="s">
        <v>266</v>
      </c>
      <c r="Q67">
        <v>1</v>
      </c>
      <c r="X67">
        <v>0.3</v>
      </c>
      <c r="Y67">
        <v>0</v>
      </c>
      <c r="Z67">
        <v>2997.56</v>
      </c>
      <c r="AA67">
        <v>1034.8599999999999</v>
      </c>
      <c r="AB67">
        <v>0</v>
      </c>
      <c r="AC67">
        <v>0</v>
      </c>
      <c r="AD67">
        <v>1</v>
      </c>
      <c r="AE67">
        <v>0</v>
      </c>
      <c r="AF67" t="s">
        <v>66</v>
      </c>
      <c r="AG67">
        <v>6</v>
      </c>
      <c r="AH67">
        <v>2</v>
      </c>
      <c r="AI67">
        <v>80890807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5">
      <c r="A68">
        <f>ROW(Source!A145)</f>
        <v>145</v>
      </c>
      <c r="B68">
        <v>80890808</v>
      </c>
      <c r="C68">
        <v>80890684</v>
      </c>
      <c r="D68">
        <v>80215470</v>
      </c>
      <c r="E68">
        <v>1</v>
      </c>
      <c r="F68">
        <v>1</v>
      </c>
      <c r="G68">
        <v>15514512</v>
      </c>
      <c r="H68">
        <v>3</v>
      </c>
      <c r="I68" t="s">
        <v>37</v>
      </c>
      <c r="J68" t="s">
        <v>40</v>
      </c>
      <c r="K68" t="s">
        <v>38</v>
      </c>
      <c r="L68">
        <v>1339</v>
      </c>
      <c r="N68">
        <v>1007</v>
      </c>
      <c r="O68" t="s">
        <v>39</v>
      </c>
      <c r="P68" t="s">
        <v>39</v>
      </c>
      <c r="Q68">
        <v>1</v>
      </c>
      <c r="X68">
        <v>1</v>
      </c>
      <c r="Y68">
        <v>54.81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66</v>
      </c>
      <c r="AG68">
        <v>20</v>
      </c>
      <c r="AH68">
        <v>2</v>
      </c>
      <c r="AI68">
        <v>80890808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5">
      <c r="A69">
        <f>ROW(Source!A147)</f>
        <v>147</v>
      </c>
      <c r="B69">
        <v>80890810</v>
      </c>
      <c r="C69">
        <v>80890685</v>
      </c>
      <c r="D69">
        <v>80199986</v>
      </c>
      <c r="E69">
        <v>15514512</v>
      </c>
      <c r="F69">
        <v>1</v>
      </c>
      <c r="G69">
        <v>15514512</v>
      </c>
      <c r="H69">
        <v>1</v>
      </c>
      <c r="I69" t="s">
        <v>267</v>
      </c>
      <c r="J69" t="s">
        <v>3</v>
      </c>
      <c r="K69" t="s">
        <v>268</v>
      </c>
      <c r="L69">
        <v>1191</v>
      </c>
      <c r="N69">
        <v>1013</v>
      </c>
      <c r="O69" t="s">
        <v>269</v>
      </c>
      <c r="P69" t="s">
        <v>269</v>
      </c>
      <c r="Q69">
        <v>1</v>
      </c>
      <c r="X69">
        <v>6.59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237</v>
      </c>
      <c r="AG69">
        <v>39.54</v>
      </c>
      <c r="AH69">
        <v>2</v>
      </c>
      <c r="AI69">
        <v>80890810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5">
      <c r="A70">
        <f>ROW(Source!A148)</f>
        <v>148</v>
      </c>
      <c r="B70">
        <v>80890901</v>
      </c>
      <c r="C70">
        <v>80890900</v>
      </c>
      <c r="D70">
        <v>80199986</v>
      </c>
      <c r="E70">
        <v>15514512</v>
      </c>
      <c r="F70">
        <v>1</v>
      </c>
      <c r="G70">
        <v>15514512</v>
      </c>
      <c r="H70">
        <v>1</v>
      </c>
      <c r="I70" t="s">
        <v>267</v>
      </c>
      <c r="J70" t="s">
        <v>3</v>
      </c>
      <c r="K70" t="s">
        <v>268</v>
      </c>
      <c r="L70">
        <v>1191</v>
      </c>
      <c r="N70">
        <v>1013</v>
      </c>
      <c r="O70" t="s">
        <v>269</v>
      </c>
      <c r="P70" t="s">
        <v>269</v>
      </c>
      <c r="Q70">
        <v>1</v>
      </c>
      <c r="X70">
        <v>1.42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1</v>
      </c>
      <c r="AF70" t="s">
        <v>187</v>
      </c>
      <c r="AG70">
        <v>4.26</v>
      </c>
      <c r="AH70">
        <v>2</v>
      </c>
      <c r="AI70">
        <v>80890901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5">
      <c r="A71">
        <f>ROW(Source!A149)</f>
        <v>149</v>
      </c>
      <c r="B71">
        <v>80890903</v>
      </c>
      <c r="C71">
        <v>80890902</v>
      </c>
      <c r="D71">
        <v>80199986</v>
      </c>
      <c r="E71">
        <v>15514512</v>
      </c>
      <c r="F71">
        <v>1</v>
      </c>
      <c r="G71">
        <v>15514512</v>
      </c>
      <c r="H71">
        <v>1</v>
      </c>
      <c r="I71" t="s">
        <v>267</v>
      </c>
      <c r="J71" t="s">
        <v>3</v>
      </c>
      <c r="K71" t="s">
        <v>268</v>
      </c>
      <c r="L71">
        <v>1191</v>
      </c>
      <c r="N71">
        <v>1013</v>
      </c>
      <c r="O71" t="s">
        <v>269</v>
      </c>
      <c r="P71" t="s">
        <v>269</v>
      </c>
      <c r="Q71">
        <v>1</v>
      </c>
      <c r="X71">
        <v>0.18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246</v>
      </c>
      <c r="AG71">
        <v>0.36</v>
      </c>
      <c r="AH71">
        <v>2</v>
      </c>
      <c r="AI71">
        <v>80890903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5">
      <c r="A72">
        <f>ROW(Source!A149)</f>
        <v>149</v>
      </c>
      <c r="B72">
        <v>80890904</v>
      </c>
      <c r="C72">
        <v>80890902</v>
      </c>
      <c r="D72">
        <v>80213250</v>
      </c>
      <c r="E72">
        <v>1</v>
      </c>
      <c r="F72">
        <v>1</v>
      </c>
      <c r="G72">
        <v>15514512</v>
      </c>
      <c r="H72">
        <v>2</v>
      </c>
      <c r="I72" t="s">
        <v>316</v>
      </c>
      <c r="J72" t="s">
        <v>317</v>
      </c>
      <c r="K72" t="s">
        <v>318</v>
      </c>
      <c r="L72">
        <v>1368</v>
      </c>
      <c r="N72">
        <v>1011</v>
      </c>
      <c r="O72" t="s">
        <v>266</v>
      </c>
      <c r="P72" t="s">
        <v>266</v>
      </c>
      <c r="Q72">
        <v>1</v>
      </c>
      <c r="X72">
        <v>0.09</v>
      </c>
      <c r="Y72">
        <v>0</v>
      </c>
      <c r="Z72">
        <v>218.95</v>
      </c>
      <c r="AA72">
        <v>0.48</v>
      </c>
      <c r="AB72">
        <v>0</v>
      </c>
      <c r="AC72">
        <v>0</v>
      </c>
      <c r="AD72">
        <v>1</v>
      </c>
      <c r="AE72">
        <v>0</v>
      </c>
      <c r="AF72" t="s">
        <v>246</v>
      </c>
      <c r="AG72">
        <v>0.18</v>
      </c>
      <c r="AH72">
        <v>2</v>
      </c>
      <c r="AI72">
        <v>80890904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5">
      <c r="A73">
        <f>ROW(Source!A149)</f>
        <v>149</v>
      </c>
      <c r="B73">
        <v>80890905</v>
      </c>
      <c r="C73">
        <v>80890902</v>
      </c>
      <c r="D73">
        <v>80215470</v>
      </c>
      <c r="E73">
        <v>1</v>
      </c>
      <c r="F73">
        <v>1</v>
      </c>
      <c r="G73">
        <v>15514512</v>
      </c>
      <c r="H73">
        <v>3</v>
      </c>
      <c r="I73" t="s">
        <v>37</v>
      </c>
      <c r="J73" t="s">
        <v>40</v>
      </c>
      <c r="K73" t="s">
        <v>38</v>
      </c>
      <c r="L73">
        <v>1339</v>
      </c>
      <c r="N73">
        <v>1007</v>
      </c>
      <c r="O73" t="s">
        <v>39</v>
      </c>
      <c r="P73" t="s">
        <v>39</v>
      </c>
      <c r="Q73">
        <v>1</v>
      </c>
      <c r="X73">
        <v>0.01</v>
      </c>
      <c r="Y73">
        <v>54.81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246</v>
      </c>
      <c r="AG73">
        <v>0.02</v>
      </c>
      <c r="AH73">
        <v>2</v>
      </c>
      <c r="AI73">
        <v>80890905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5">
      <c r="A74">
        <f>ROW(Source!A149)</f>
        <v>149</v>
      </c>
      <c r="B74">
        <v>80890906</v>
      </c>
      <c r="C74">
        <v>80890902</v>
      </c>
      <c r="D74">
        <v>80200065</v>
      </c>
      <c r="E74">
        <v>15514512</v>
      </c>
      <c r="F74">
        <v>1</v>
      </c>
      <c r="G74">
        <v>15514512</v>
      </c>
      <c r="H74">
        <v>3</v>
      </c>
      <c r="I74" t="s">
        <v>321</v>
      </c>
      <c r="J74" t="s">
        <v>3</v>
      </c>
      <c r="K74" t="s">
        <v>322</v>
      </c>
      <c r="L74">
        <v>1296</v>
      </c>
      <c r="N74">
        <v>1002</v>
      </c>
      <c r="O74" t="s">
        <v>250</v>
      </c>
      <c r="P74" t="s">
        <v>250</v>
      </c>
      <c r="Q74">
        <v>1</v>
      </c>
      <c r="X74">
        <v>0.1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 t="s">
        <v>246</v>
      </c>
      <c r="AG74">
        <v>0.2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5">
      <c r="A75">
        <f>ROW(Source!A151)</f>
        <v>151</v>
      </c>
      <c r="B75">
        <v>80890896</v>
      </c>
      <c r="C75">
        <v>80890892</v>
      </c>
      <c r="D75">
        <v>80199986</v>
      </c>
      <c r="E75">
        <v>15514512</v>
      </c>
      <c r="F75">
        <v>1</v>
      </c>
      <c r="G75">
        <v>15514512</v>
      </c>
      <c r="H75">
        <v>1</v>
      </c>
      <c r="I75" t="s">
        <v>267</v>
      </c>
      <c r="J75" t="s">
        <v>3</v>
      </c>
      <c r="K75" t="s">
        <v>268</v>
      </c>
      <c r="L75">
        <v>1191</v>
      </c>
      <c r="N75">
        <v>1013</v>
      </c>
      <c r="O75" t="s">
        <v>269</v>
      </c>
      <c r="P75" t="s">
        <v>269</v>
      </c>
      <c r="Q75">
        <v>1</v>
      </c>
      <c r="X75">
        <v>0.56000000000000005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66</v>
      </c>
      <c r="AG75">
        <v>11.200000000000001</v>
      </c>
      <c r="AH75">
        <v>2</v>
      </c>
      <c r="AI75">
        <v>80890893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5">
      <c r="A76">
        <f>ROW(Source!A151)</f>
        <v>151</v>
      </c>
      <c r="B76">
        <v>80890897</v>
      </c>
      <c r="C76">
        <v>80890892</v>
      </c>
      <c r="D76">
        <v>80212805</v>
      </c>
      <c r="E76">
        <v>1</v>
      </c>
      <c r="F76">
        <v>1</v>
      </c>
      <c r="G76">
        <v>15514512</v>
      </c>
      <c r="H76">
        <v>2</v>
      </c>
      <c r="I76" t="s">
        <v>313</v>
      </c>
      <c r="J76" t="s">
        <v>314</v>
      </c>
      <c r="K76" t="s">
        <v>315</v>
      </c>
      <c r="L76">
        <v>1368</v>
      </c>
      <c r="N76">
        <v>1011</v>
      </c>
      <c r="O76" t="s">
        <v>266</v>
      </c>
      <c r="P76" t="s">
        <v>266</v>
      </c>
      <c r="Q76">
        <v>1</v>
      </c>
      <c r="X76">
        <v>0.3</v>
      </c>
      <c r="Y76">
        <v>0</v>
      </c>
      <c r="Z76">
        <v>2997.56</v>
      </c>
      <c r="AA76">
        <v>1034.8599999999999</v>
      </c>
      <c r="AB76">
        <v>0</v>
      </c>
      <c r="AC76">
        <v>0</v>
      </c>
      <c r="AD76">
        <v>1</v>
      </c>
      <c r="AE76">
        <v>0</v>
      </c>
      <c r="AF76" t="s">
        <v>66</v>
      </c>
      <c r="AG76">
        <v>6</v>
      </c>
      <c r="AH76">
        <v>2</v>
      </c>
      <c r="AI76">
        <v>80890894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5">
      <c r="A77">
        <f>ROW(Source!A151)</f>
        <v>151</v>
      </c>
      <c r="B77">
        <v>80890898</v>
      </c>
      <c r="C77">
        <v>80890892</v>
      </c>
      <c r="D77">
        <v>80215470</v>
      </c>
      <c r="E77">
        <v>1</v>
      </c>
      <c r="F77">
        <v>1</v>
      </c>
      <c r="G77">
        <v>15514512</v>
      </c>
      <c r="H77">
        <v>3</v>
      </c>
      <c r="I77" t="s">
        <v>37</v>
      </c>
      <c r="J77" t="s">
        <v>40</v>
      </c>
      <c r="K77" t="s">
        <v>38</v>
      </c>
      <c r="L77">
        <v>1339</v>
      </c>
      <c r="N77">
        <v>1007</v>
      </c>
      <c r="O77" t="s">
        <v>39</v>
      </c>
      <c r="P77" t="s">
        <v>39</v>
      </c>
      <c r="Q77">
        <v>1</v>
      </c>
      <c r="X77">
        <v>1</v>
      </c>
      <c r="Y77">
        <v>54.81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66</v>
      </c>
      <c r="AG77">
        <v>20</v>
      </c>
      <c r="AH77">
        <v>2</v>
      </c>
      <c r="AI77">
        <v>80890895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94414-2BDB-4E5A-92B1-00CC5DECA182}">
  <dimension ref="A1"/>
  <sheetViews>
    <sheetView workbookViewId="0"/>
  </sheetViews>
  <sheetFormatPr defaultColWidth="9.1796875" defaultRowHeight="12.5" x14ac:dyDescent="0.25"/>
  <cols>
    <col min="1" max="256" width="9.179687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4E28B-3ADE-4C91-B4EE-810767F32E6D}">
  <dimension ref="A1:CY12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0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03" x14ac:dyDescent="0.25">
      <c r="F12" t="str">
        <f>Source!F12</f>
        <v>Новый объект</v>
      </c>
      <c r="G12" t="str">
        <f>Source!G12</f>
        <v>Зона 2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>
        <v>0</v>
      </c>
      <c r="AK12" t="s">
        <v>3</v>
      </c>
      <c r="AL12" t="s">
        <v>3</v>
      </c>
      <c r="AM12" t="s">
        <v>3</v>
      </c>
      <c r="CY1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1-5,7</vt:lpstr>
      <vt:lpstr>Ведомость объемов работ</vt:lpstr>
      <vt:lpstr>Source</vt:lpstr>
      <vt:lpstr>SourceObSm</vt:lpstr>
      <vt:lpstr>SmtRes</vt:lpstr>
      <vt:lpstr>EtalonRes</vt:lpstr>
      <vt:lpstr>SrcPoprs</vt:lpstr>
      <vt:lpstr>SrcKA</vt:lpstr>
      <vt:lpstr>'Ведомость объемов работ'!Заголовки_для_печати</vt:lpstr>
      <vt:lpstr>'Смета СН-2012 по гл. 1-5,7'!Заголовки_для_печати</vt:lpstr>
      <vt:lpstr>'Ведомость объемов работ'!Область_печати</vt:lpstr>
      <vt:lpstr>'Смета СН-2012 по гл. 1-5,7'!Область_печати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2025-11-27T11:48:20Z</dcterms:created>
  <dcterms:modified xsi:type="dcterms:W3CDTF">2025-12-09T09:30:09Z</dcterms:modified>
</cp:coreProperties>
</file>